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tuhfltd-my.sharepoint.com/personal/jonathanv_tuhf_co_za/Documents/"/>
    </mc:Choice>
  </mc:AlternateContent>
  <xr:revisionPtr revIDLastSave="0" documentId="8_{F40EE5AB-9A9E-40DC-887E-CE899F932D78}" xr6:coauthVersionLast="47" xr6:coauthVersionMax="47" xr10:uidLastSave="{00000000-0000-0000-0000-000000000000}"/>
  <bookViews>
    <workbookView xWindow="-108" yWindow="-108" windowWidth="23256" windowHeight="12456" firstSheet="4" activeTab="8" xr2:uid="{C41F3DCA-59B2-4A24-9553-7E75CAE8C8B3}"/>
  </bookViews>
  <sheets>
    <sheet name="Contents" sheetId="13" r:id="rId1"/>
    <sheet name="AFS Summary &amp; Charts 15yrs" sheetId="8" r:id="rId2"/>
    <sheet name="Tables &amp; Charts 7yrs" sheetId="6" r:id="rId3"/>
    <sheet name="Oversight Report Summary 2024" sheetId="14" r:id="rId4"/>
    <sheet name="Inflation Rate" sheetId="15" r:id="rId5"/>
    <sheet name="Audited AFS 14yrs" sheetId="7" r:id="rId6"/>
    <sheet name="Combined 7yrs" sheetId="5" r:id="rId7"/>
    <sheet name="Finance 7yrs" sheetId="1" r:id="rId8"/>
    <sheet name="Employment 5yrs" sheetId="2" r:id="rId9"/>
    <sheet name="Services 5yrs" sheetId="3" r:id="rId10"/>
    <sheet name="Links" sheetId="4" state="hidden" r:id="rId11"/>
    <sheet name="Capex Analysis 21-22" sheetId="9" r:id="rId12"/>
    <sheet name="CoJ Dept'l Finance Report 2023" sheetId="10" r:id="rId13"/>
    <sheet name="Unauthorised Expenditure by Dep" sheetId="11" r:id="rId14"/>
    <sheet name="Unauthorised Expenditure by Typ" sheetId="12" r:id="rId15"/>
  </sheets>
  <externalReferences>
    <externalReference r:id="rId16"/>
  </externalReferences>
  <definedNames>
    <definedName name="_xlnm.Print_Area" localSheetId="1">'AFS Summary &amp; Charts 15yrs'!$A$2:$S$174</definedName>
    <definedName name="_xlnm.Print_Area" localSheetId="5">'Audited AFS 14yrs'!$A$250:$DZ$296</definedName>
    <definedName name="_xlnm.Print_Area" localSheetId="11">'Capex Analysis 21-22'!$A$1:$I$55</definedName>
    <definedName name="_xlnm.Print_Area" localSheetId="4">'Inflation Rate'!$A$1:$AE$77</definedName>
    <definedName name="_xlnm.Print_Area" localSheetId="3">'Oversight Report Summary 2024'!$A$1:$L$47</definedName>
    <definedName name="_xlnm.Print_Area" localSheetId="2">'Tables &amp; Charts 7yrs'!$A$2:$L$79</definedName>
    <definedName name="_xlnm.Print_Titles" localSheetId="6">'Combined 7yrs'!$7:$7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4" i="8" l="1"/>
  <c r="Q44" i="8"/>
  <c r="P44" i="8"/>
  <c r="O44" i="8"/>
  <c r="N44" i="8"/>
  <c r="M44" i="8"/>
  <c r="L44" i="8"/>
  <c r="K44" i="8"/>
  <c r="J44" i="8"/>
  <c r="I44" i="8"/>
  <c r="H44" i="8"/>
  <c r="G44" i="8"/>
  <c r="F44" i="8"/>
  <c r="E44" i="8"/>
  <c r="M25" i="15"/>
  <c r="M24" i="15" s="1"/>
  <c r="M23" i="15" s="1"/>
  <c r="M22" i="15" s="1"/>
  <c r="M21" i="15" s="1"/>
  <c r="M20" i="15" s="1"/>
  <c r="M19" i="15" s="1"/>
  <c r="M18" i="15" s="1"/>
  <c r="M17" i="15" s="1"/>
  <c r="M16" i="15" s="1"/>
  <c r="M15" i="15" s="1"/>
  <c r="M14" i="15" s="1"/>
  <c r="M13" i="15" s="1"/>
  <c r="M12" i="15" s="1"/>
  <c r="M11" i="15" s="1"/>
  <c r="M10" i="15"/>
  <c r="L25" i="15"/>
  <c r="L24" i="15" s="1"/>
  <c r="L23" i="15" s="1"/>
  <c r="L22" i="15" s="1"/>
  <c r="L21" i="15" s="1"/>
  <c r="L20" i="15" s="1"/>
  <c r="L19" i="15" s="1"/>
  <c r="L18" i="15" s="1"/>
  <c r="L17" i="15" s="1"/>
  <c r="L16" i="15" s="1"/>
  <c r="L15" i="15" s="1"/>
  <c r="L14" i="15" s="1"/>
  <c r="L13" i="15" s="1"/>
  <c r="L12" i="15" s="1"/>
  <c r="L11" i="15" s="1"/>
  <c r="L10" i="15"/>
  <c r="K25" i="15"/>
  <c r="K24" i="15" s="1"/>
  <c r="K23" i="15" s="1"/>
  <c r="K22" i="15" s="1"/>
  <c r="K21" i="15" s="1"/>
  <c r="K20" i="15" s="1"/>
  <c r="K19" i="15" s="1"/>
  <c r="K18" i="15" s="1"/>
  <c r="K17" i="15" s="1"/>
  <c r="K16" i="15" s="1"/>
  <c r="K15" i="15" s="1"/>
  <c r="K14" i="15" s="1"/>
  <c r="K13" i="15" s="1"/>
  <c r="K12" i="15" s="1"/>
  <c r="K11" i="15" s="1"/>
  <c r="K10" i="15"/>
  <c r="J10" i="15"/>
  <c r="J25" i="15"/>
  <c r="J24" i="15" s="1"/>
  <c r="J23" i="15" s="1"/>
  <c r="J22" i="15" s="1"/>
  <c r="J21" i="15" s="1"/>
  <c r="J20" i="15" s="1"/>
  <c r="J19" i="15" s="1"/>
  <c r="J18" i="15" s="1"/>
  <c r="J17" i="15" s="1"/>
  <c r="J16" i="15" s="1"/>
  <c r="J15" i="15" s="1"/>
  <c r="J14" i="15" s="1"/>
  <c r="J13" i="15" s="1"/>
  <c r="J12" i="15" s="1"/>
  <c r="J11" i="15" s="1"/>
  <c r="Q17" i="15" l="1"/>
  <c r="R17" i="15" s="1"/>
  <c r="S17" i="15" s="1"/>
  <c r="T17" i="15" s="1"/>
  <c r="U17" i="15" s="1"/>
  <c r="V17" i="15" s="1"/>
  <c r="W17" i="15" s="1"/>
  <c r="X17" i="15" s="1"/>
  <c r="Y17" i="15" s="1"/>
  <c r="Z17" i="15" s="1"/>
  <c r="AA17" i="15" s="1"/>
  <c r="AB17" i="15" s="1"/>
  <c r="AC17" i="15" s="1"/>
  <c r="AD17" i="15" s="1"/>
  <c r="AE17" i="15" s="1"/>
  <c r="P53" i="5"/>
  <c r="O53" i="5"/>
  <c r="N53" i="5"/>
  <c r="M53" i="5"/>
  <c r="L53" i="5"/>
  <c r="P190" i="5"/>
  <c r="O190" i="5"/>
  <c r="N190" i="5"/>
  <c r="M190" i="5"/>
  <c r="L190" i="5"/>
  <c r="P56" i="5"/>
  <c r="O56" i="5"/>
  <c r="N56" i="5"/>
  <c r="M56" i="5"/>
  <c r="L56" i="5"/>
  <c r="O182" i="5"/>
  <c r="N182" i="5"/>
  <c r="M182" i="5"/>
  <c r="L182" i="5"/>
  <c r="P182" i="5"/>
  <c r="E32" i="11"/>
  <c r="E33" i="11" s="1"/>
  <c r="D32" i="11"/>
  <c r="D33" i="11" s="1"/>
  <c r="E52" i="12"/>
  <c r="R50" i="5" s="1"/>
  <c r="R53" i="5" s="1"/>
  <c r="D52" i="12"/>
  <c r="Q50" i="5" s="1"/>
  <c r="Q53" i="5" s="1"/>
  <c r="E51" i="12"/>
  <c r="E53" i="12" s="1"/>
  <c r="D51" i="12"/>
  <c r="D53" i="12" s="1"/>
  <c r="F52" i="5"/>
  <c r="F51" i="5"/>
  <c r="F49" i="5"/>
  <c r="K53" i="5"/>
  <c r="J53" i="5"/>
  <c r="I53" i="5"/>
  <c r="H53" i="5"/>
  <c r="G53" i="5"/>
  <c r="E53" i="5"/>
  <c r="D53" i="5"/>
  <c r="D48" i="8" s="1"/>
  <c r="C48" i="8"/>
  <c r="E7" i="12"/>
  <c r="D7" i="12"/>
  <c r="D31" i="11"/>
  <c r="D30" i="11"/>
  <c r="D29" i="11"/>
  <c r="D28" i="11"/>
  <c r="D27" i="11"/>
  <c r="D26" i="11"/>
  <c r="D25" i="11"/>
  <c r="D24" i="11"/>
  <c r="D23" i="11"/>
  <c r="D22" i="11"/>
  <c r="D21" i="11"/>
  <c r="D20" i="11"/>
  <c r="D19" i="11"/>
  <c r="D18" i="11"/>
  <c r="D17" i="11"/>
  <c r="D16" i="11"/>
  <c r="D15" i="11"/>
  <c r="D14" i="11"/>
  <c r="D13" i="11"/>
  <c r="D12" i="11"/>
  <c r="D11" i="11"/>
  <c r="F53" i="5" l="1"/>
  <c r="L37" i="3"/>
  <c r="L38" i="3"/>
  <c r="L39" i="3"/>
  <c r="L40" i="3"/>
  <c r="L41" i="3"/>
  <c r="L26" i="3"/>
  <c r="L27" i="3"/>
  <c r="L28" i="3"/>
  <c r="L29" i="3"/>
  <c r="L30" i="3"/>
  <c r="L31" i="3"/>
  <c r="L32" i="3"/>
  <c r="L33" i="3"/>
  <c r="L34" i="3"/>
  <c r="L35" i="3"/>
  <c r="L21" i="3"/>
  <c r="L22" i="3"/>
  <c r="L23" i="3"/>
  <c r="L24" i="3"/>
  <c r="L12" i="3"/>
  <c r="L13" i="3"/>
  <c r="L14" i="3"/>
  <c r="L15" i="3"/>
  <c r="L16" i="3"/>
  <c r="L17" i="3"/>
  <c r="L18" i="3"/>
  <c r="L19" i="3"/>
  <c r="I106" i="1"/>
  <c r="I105" i="1"/>
  <c r="I104" i="1"/>
  <c r="I102" i="1"/>
  <c r="I101" i="1"/>
  <c r="I100" i="1"/>
  <c r="I99" i="1"/>
  <c r="I97" i="1"/>
  <c r="I96" i="1"/>
  <c r="I95" i="1"/>
  <c r="I94" i="1"/>
  <c r="I93" i="1"/>
  <c r="I91" i="1"/>
  <c r="I90" i="1"/>
  <c r="I89" i="1"/>
  <c r="I87" i="1"/>
  <c r="I86" i="1"/>
  <c r="I84" i="1"/>
  <c r="I82" i="1"/>
  <c r="I81" i="1"/>
  <c r="I80" i="1"/>
  <c r="I79" i="1"/>
  <c r="I78" i="1"/>
  <c r="I77" i="1"/>
  <c r="I76" i="1"/>
  <c r="I75" i="1"/>
  <c r="I74" i="1"/>
  <c r="I73" i="1"/>
  <c r="I72" i="1"/>
  <c r="I71" i="1"/>
  <c r="I70" i="1"/>
  <c r="I69" i="1"/>
  <c r="I68" i="1"/>
  <c r="I67" i="1"/>
  <c r="I66" i="1"/>
  <c r="I65" i="1"/>
  <c r="L35" i="1"/>
  <c r="L36" i="1"/>
  <c r="L37" i="1"/>
  <c r="L38" i="1"/>
  <c r="L39" i="1"/>
  <c r="L40" i="1"/>
  <c r="L41" i="1"/>
  <c r="L42" i="1"/>
  <c r="L43" i="1"/>
  <c r="L44" i="1"/>
  <c r="L45" i="1"/>
  <c r="L46" i="1"/>
  <c r="L47" i="1"/>
  <c r="L48" i="1"/>
  <c r="L49" i="1"/>
  <c r="L50" i="1"/>
  <c r="L51" i="1"/>
  <c r="L52" i="1"/>
  <c r="L53" i="1"/>
  <c r="L54" i="1"/>
  <c r="R22" i="5"/>
  <c r="R78" i="5" s="1"/>
  <c r="Q22" i="5"/>
  <c r="Q78" i="5" s="1"/>
  <c r="R24" i="5"/>
  <c r="R80" i="5" s="1"/>
  <c r="Q24" i="5"/>
  <c r="Q80" i="5" s="1"/>
  <c r="R107" i="5"/>
  <c r="R106" i="5"/>
  <c r="R105" i="5"/>
  <c r="R103" i="5"/>
  <c r="R102" i="5"/>
  <c r="R101" i="5"/>
  <c r="R100" i="5"/>
  <c r="R98" i="5"/>
  <c r="R97" i="5"/>
  <c r="R96" i="5"/>
  <c r="R95" i="5"/>
  <c r="R94" i="5"/>
  <c r="R92" i="5"/>
  <c r="R91" i="5"/>
  <c r="R90" i="5"/>
  <c r="R88" i="5"/>
  <c r="R87" i="5"/>
  <c r="R85" i="5"/>
  <c r="R83" i="5"/>
  <c r="R82" i="5"/>
  <c r="R81" i="5"/>
  <c r="R79" i="5"/>
  <c r="R77" i="5"/>
  <c r="R76" i="5"/>
  <c r="R75" i="5"/>
  <c r="R74" i="5"/>
  <c r="R73" i="5"/>
  <c r="R72" i="5"/>
  <c r="R71" i="5"/>
  <c r="R69" i="5"/>
  <c r="R68" i="5"/>
  <c r="R66" i="5"/>
  <c r="Q107" i="5"/>
  <c r="Q106" i="5"/>
  <c r="Q105" i="5"/>
  <c r="Q103" i="5"/>
  <c r="Q102" i="5"/>
  <c r="Q101" i="5"/>
  <c r="Q100" i="5"/>
  <c r="Q98" i="5"/>
  <c r="Q97" i="5"/>
  <c r="Q96" i="5"/>
  <c r="Q95" i="5"/>
  <c r="Q94" i="5"/>
  <c r="Q92" i="5"/>
  <c r="Q91" i="5"/>
  <c r="Q90" i="5"/>
  <c r="Q88" i="5"/>
  <c r="Q87" i="5"/>
  <c r="Q85" i="5"/>
  <c r="Q83" i="5"/>
  <c r="Q82" i="5"/>
  <c r="Q81" i="5"/>
  <c r="Q79" i="5"/>
  <c r="Q77" i="5"/>
  <c r="Q76" i="5"/>
  <c r="Q75" i="5"/>
  <c r="Q74" i="5"/>
  <c r="Q73" i="5"/>
  <c r="Q72" i="5"/>
  <c r="Q71" i="5"/>
  <c r="Q69" i="5"/>
  <c r="Q68" i="5"/>
  <c r="Q66" i="5"/>
  <c r="R64" i="5"/>
  <c r="Q64" i="5"/>
  <c r="P64" i="5"/>
  <c r="O64" i="5"/>
  <c r="N64" i="5"/>
  <c r="M64" i="5"/>
  <c r="L64" i="5"/>
  <c r="K64" i="5"/>
  <c r="J64" i="5"/>
  <c r="Q34" i="8"/>
  <c r="Q52" i="8" s="1"/>
  <c r="Q33" i="8"/>
  <c r="Q27" i="8"/>
  <c r="Q26" i="8"/>
  <c r="K61" i="6"/>
  <c r="J61" i="6"/>
  <c r="K9" i="6"/>
  <c r="K59" i="6" s="1"/>
  <c r="J9" i="6"/>
  <c r="J59" i="6" s="1"/>
  <c r="P107" i="5"/>
  <c r="P106" i="5"/>
  <c r="P105" i="5"/>
  <c r="P103" i="5"/>
  <c r="P102" i="5"/>
  <c r="P101" i="5"/>
  <c r="P100" i="5"/>
  <c r="P98" i="5"/>
  <c r="P97" i="5"/>
  <c r="P96" i="5"/>
  <c r="P95" i="5"/>
  <c r="P94" i="5"/>
  <c r="P92" i="5"/>
  <c r="P91" i="5"/>
  <c r="P90" i="5"/>
  <c r="P88" i="5"/>
  <c r="P87" i="5"/>
  <c r="P85" i="5"/>
  <c r="P83" i="5"/>
  <c r="P82" i="5"/>
  <c r="P81" i="5"/>
  <c r="P80" i="5"/>
  <c r="P79" i="5"/>
  <c r="P78" i="5"/>
  <c r="P77" i="5"/>
  <c r="P76" i="5"/>
  <c r="P75" i="5"/>
  <c r="P74" i="5"/>
  <c r="P73" i="5"/>
  <c r="P72" i="5"/>
  <c r="P71" i="5"/>
  <c r="P70" i="5"/>
  <c r="P69" i="5"/>
  <c r="P68" i="5"/>
  <c r="P67" i="5"/>
  <c r="P66" i="5"/>
  <c r="W165" i="5"/>
  <c r="W166" i="5"/>
  <c r="W167" i="5"/>
  <c r="W154" i="5"/>
  <c r="W155" i="5"/>
  <c r="W156" i="5"/>
  <c r="W157" i="5"/>
  <c r="W158" i="5"/>
  <c r="W159" i="5"/>
  <c r="W160" i="5"/>
  <c r="W161" i="5"/>
  <c r="W162" i="5"/>
  <c r="W163" i="5"/>
  <c r="W149" i="5"/>
  <c r="W150" i="5"/>
  <c r="W151" i="5"/>
  <c r="W152" i="5"/>
  <c r="W140" i="5"/>
  <c r="W141" i="5"/>
  <c r="W142" i="5"/>
  <c r="W143" i="5"/>
  <c r="W144" i="5"/>
  <c r="W145" i="5"/>
  <c r="W146" i="5"/>
  <c r="W147" i="5"/>
  <c r="W138" i="5"/>
  <c r="W137" i="5"/>
  <c r="W136" i="5"/>
  <c r="W135" i="5"/>
  <c r="W129" i="5"/>
  <c r="W128" i="5"/>
  <c r="W34" i="5"/>
  <c r="W35" i="5"/>
  <c r="W36" i="5"/>
  <c r="W37" i="5"/>
  <c r="W38" i="5"/>
  <c r="W39" i="5"/>
  <c r="W40" i="5"/>
  <c r="W41" i="5"/>
  <c r="W42" i="5"/>
  <c r="W43" i="5"/>
  <c r="W44" i="5"/>
  <c r="W45" i="5"/>
  <c r="W46" i="5"/>
  <c r="W47" i="5"/>
  <c r="W48" i="5"/>
  <c r="W49" i="5"/>
  <c r="W51" i="5"/>
  <c r="W52" i="5"/>
  <c r="W54" i="5"/>
  <c r="W55" i="5"/>
  <c r="W127" i="5"/>
  <c r="W126" i="5"/>
  <c r="W125" i="5"/>
  <c r="W124" i="5"/>
  <c r="W123" i="5"/>
  <c r="W122" i="5"/>
  <c r="W121" i="5"/>
  <c r="W120" i="5"/>
  <c r="W119" i="5"/>
  <c r="W118" i="5"/>
  <c r="W117" i="5"/>
  <c r="W116" i="5"/>
  <c r="W115" i="5"/>
  <c r="W114" i="5"/>
  <c r="W32" i="5"/>
  <c r="W31" i="5"/>
  <c r="W30" i="5"/>
  <c r="W29" i="5"/>
  <c r="W28" i="5"/>
  <c r="W27" i="5"/>
  <c r="W26" i="5"/>
  <c r="W25" i="5"/>
  <c r="W24" i="5"/>
  <c r="W23" i="5"/>
  <c r="W22" i="5"/>
  <c r="W21" i="5"/>
  <c r="W20" i="5"/>
  <c r="W19" i="5"/>
  <c r="W18" i="5"/>
  <c r="W17" i="5"/>
  <c r="W16" i="5"/>
  <c r="W15" i="5"/>
  <c r="W14" i="5"/>
  <c r="W13" i="5"/>
  <c r="W12" i="5"/>
  <c r="W11" i="5"/>
  <c r="W10" i="5"/>
  <c r="W9" i="5"/>
  <c r="L10" i="3"/>
  <c r="L9" i="3"/>
  <c r="M21" i="2"/>
  <c r="M20" i="2"/>
  <c r="M19" i="2"/>
  <c r="M18" i="2"/>
  <c r="M17" i="2"/>
  <c r="M16" i="2"/>
  <c r="M15" i="2"/>
  <c r="M14" i="2"/>
  <c r="M13" i="2"/>
  <c r="M12" i="2"/>
  <c r="M11" i="2"/>
  <c r="M10" i="2"/>
  <c r="M9" i="2"/>
  <c r="L34" i="1"/>
  <c r="L33" i="1"/>
  <c r="L32" i="1"/>
  <c r="L31" i="1"/>
  <c r="L30" i="1"/>
  <c r="L29" i="1"/>
  <c r="L28" i="1"/>
  <c r="L27" i="1"/>
  <c r="L26" i="1"/>
  <c r="L25" i="1"/>
  <c r="L24" i="1"/>
  <c r="L23" i="1"/>
  <c r="L22" i="1"/>
  <c r="L21" i="1"/>
  <c r="L20" i="1"/>
  <c r="L19" i="1"/>
  <c r="L18" i="1"/>
  <c r="L17" i="1"/>
  <c r="L16" i="1"/>
  <c r="L15" i="1"/>
  <c r="L14" i="1"/>
  <c r="L13" i="1"/>
  <c r="L12" i="1"/>
  <c r="L11" i="1"/>
  <c r="L10" i="1"/>
  <c r="R34" i="8"/>
  <c r="R52" i="8" s="1"/>
  <c r="R33" i="8"/>
  <c r="R27" i="8"/>
  <c r="R26" i="8"/>
  <c r="H44" i="9"/>
  <c r="H42" i="9"/>
  <c r="H41" i="9"/>
  <c r="H40" i="9"/>
  <c r="H39" i="9"/>
  <c r="H38" i="9"/>
  <c r="H37" i="9"/>
  <c r="H36" i="9"/>
  <c r="H35" i="9"/>
  <c r="H34" i="9"/>
  <c r="H32" i="9"/>
  <c r="H31" i="9"/>
  <c r="H27" i="9"/>
  <c r="H26" i="9"/>
  <c r="H25" i="9"/>
  <c r="H24" i="9"/>
  <c r="H23" i="9"/>
  <c r="H22" i="9"/>
  <c r="H21" i="9"/>
  <c r="H20" i="9"/>
  <c r="J55" i="9"/>
  <c r="G18" i="9"/>
  <c r="F18" i="9"/>
  <c r="H17" i="9"/>
  <c r="H16" i="9"/>
  <c r="H15" i="9"/>
  <c r="H14" i="9"/>
  <c r="H13" i="9"/>
  <c r="H12" i="9"/>
  <c r="E9" i="9"/>
  <c r="G9" i="9"/>
  <c r="G45" i="9" s="1"/>
  <c r="F9" i="9"/>
  <c r="F45" i="9" s="1"/>
  <c r="H11" i="9"/>
  <c r="H10" i="9"/>
  <c r="D40" i="8"/>
  <c r="D41" i="8" l="1"/>
  <c r="D45" i="8"/>
  <c r="H9" i="9"/>
  <c r="H45" i="9" s="1"/>
  <c r="H18" i="9"/>
  <c r="P27" i="8" l="1"/>
  <c r="O27" i="8"/>
  <c r="N27" i="8"/>
  <c r="M27" i="8"/>
  <c r="L27" i="8"/>
  <c r="K27" i="8"/>
  <c r="J27" i="8"/>
  <c r="I27" i="8"/>
  <c r="H27" i="8"/>
  <c r="G27" i="8"/>
  <c r="F27" i="8"/>
  <c r="E27" i="8"/>
  <c r="D21" i="8"/>
  <c r="D16" i="8"/>
  <c r="D17" i="8" s="1"/>
  <c r="D28" i="8"/>
  <c r="D27" i="8"/>
  <c r="P26" i="8"/>
  <c r="O26" i="8"/>
  <c r="N26" i="8"/>
  <c r="M26" i="8"/>
  <c r="L26" i="8"/>
  <c r="K26" i="8"/>
  <c r="J26" i="8"/>
  <c r="I26" i="8"/>
  <c r="H26" i="8"/>
  <c r="G26" i="8"/>
  <c r="F26" i="8"/>
  <c r="E26" i="8"/>
  <c r="D26" i="8"/>
  <c r="P33" i="8"/>
  <c r="O33" i="8"/>
  <c r="N33" i="8"/>
  <c r="M33" i="8"/>
  <c r="L33" i="8"/>
  <c r="K33" i="8"/>
  <c r="J33" i="8"/>
  <c r="I33" i="8"/>
  <c r="H33" i="8"/>
  <c r="G33" i="8"/>
  <c r="F33" i="8"/>
  <c r="E33" i="8"/>
  <c r="D33" i="8"/>
  <c r="D34" i="8"/>
  <c r="D52" i="8" s="1"/>
  <c r="D11" i="8"/>
  <c r="D12" i="8" s="1"/>
  <c r="D35" i="8"/>
  <c r="P34" i="8"/>
  <c r="P52" i="8" s="1"/>
  <c r="O34" i="8"/>
  <c r="O52" i="8" s="1"/>
  <c r="N34" i="8"/>
  <c r="N52" i="8" s="1"/>
  <c r="M34" i="8"/>
  <c r="M52" i="8" s="1"/>
  <c r="L34" i="8"/>
  <c r="L52" i="8" s="1"/>
  <c r="K34" i="8"/>
  <c r="K52" i="8" s="1"/>
  <c r="J34" i="8"/>
  <c r="J52" i="8" s="1"/>
  <c r="I34" i="8"/>
  <c r="I52" i="8" s="1"/>
  <c r="H34" i="8"/>
  <c r="H52" i="8" s="1"/>
  <c r="G34" i="8"/>
  <c r="G52" i="8" s="1"/>
  <c r="F34" i="8"/>
  <c r="F52" i="8" s="1"/>
  <c r="E34" i="8"/>
  <c r="E52" i="8" s="1"/>
  <c r="E1" i="8"/>
  <c r="E48" i="8" s="1"/>
  <c r="L61" i="6"/>
  <c r="I61" i="6"/>
  <c r="H61" i="6"/>
  <c r="G61" i="6"/>
  <c r="F61" i="6"/>
  <c r="E61" i="6"/>
  <c r="D61" i="6"/>
  <c r="F60" i="6"/>
  <c r="E59" i="6"/>
  <c r="D59" i="6"/>
  <c r="C15" i="6"/>
  <c r="F20" i="6"/>
  <c r="F19" i="6"/>
  <c r="F18" i="6"/>
  <c r="C20" i="6"/>
  <c r="C19" i="6"/>
  <c r="C18" i="6"/>
  <c r="F13" i="6"/>
  <c r="F12" i="6"/>
  <c r="F11" i="6"/>
  <c r="F10" i="6"/>
  <c r="E1" i="6"/>
  <c r="E18" i="6" s="1"/>
  <c r="G1" i="6"/>
  <c r="G13" i="6" s="1"/>
  <c r="L9" i="6"/>
  <c r="L59" i="6" s="1"/>
  <c r="I9" i="6"/>
  <c r="I59" i="6" s="1"/>
  <c r="H9" i="6"/>
  <c r="H59" i="6" s="1"/>
  <c r="G9" i="6"/>
  <c r="G59" i="6" s="1"/>
  <c r="F9" i="6"/>
  <c r="F59" i="6" s="1"/>
  <c r="A135" i="5"/>
  <c r="A114" i="5"/>
  <c r="A62" i="5"/>
  <c r="A6" i="5"/>
  <c r="L107" i="5"/>
  <c r="M107" i="5"/>
  <c r="N107" i="5"/>
  <c r="O107" i="5"/>
  <c r="L106" i="5"/>
  <c r="M106" i="5"/>
  <c r="N106" i="5"/>
  <c r="O106" i="5"/>
  <c r="L105" i="5"/>
  <c r="M105" i="5"/>
  <c r="N105" i="5"/>
  <c r="O105" i="5"/>
  <c r="L103" i="5"/>
  <c r="M103" i="5"/>
  <c r="N103" i="5"/>
  <c r="O103" i="5"/>
  <c r="L102" i="5"/>
  <c r="M102" i="5"/>
  <c r="N102" i="5"/>
  <c r="O102" i="5"/>
  <c r="L101" i="5"/>
  <c r="M101" i="5"/>
  <c r="N101" i="5"/>
  <c r="O101" i="5"/>
  <c r="L100" i="5"/>
  <c r="M100" i="5"/>
  <c r="N100" i="5"/>
  <c r="O100" i="5"/>
  <c r="L98" i="5"/>
  <c r="M98" i="5"/>
  <c r="N98" i="5"/>
  <c r="O98" i="5"/>
  <c r="L97" i="5"/>
  <c r="M97" i="5"/>
  <c r="N97" i="5"/>
  <c r="O97" i="5"/>
  <c r="L96" i="5"/>
  <c r="M96" i="5"/>
  <c r="N96" i="5"/>
  <c r="O96" i="5"/>
  <c r="L95" i="5"/>
  <c r="M95" i="5"/>
  <c r="N95" i="5"/>
  <c r="O95" i="5"/>
  <c r="L94" i="5"/>
  <c r="M94" i="5"/>
  <c r="N94" i="5"/>
  <c r="O94" i="5"/>
  <c r="L92" i="5"/>
  <c r="M92" i="5"/>
  <c r="N92" i="5"/>
  <c r="O92" i="5"/>
  <c r="L91" i="5"/>
  <c r="M91" i="5"/>
  <c r="N91" i="5"/>
  <c r="O91" i="5"/>
  <c r="L90" i="5"/>
  <c r="M90" i="5"/>
  <c r="N90" i="5"/>
  <c r="O90" i="5"/>
  <c r="L88" i="5"/>
  <c r="M88" i="5"/>
  <c r="N88" i="5"/>
  <c r="O88" i="5"/>
  <c r="L87" i="5"/>
  <c r="M87" i="5"/>
  <c r="N87" i="5"/>
  <c r="O87" i="5"/>
  <c r="L85" i="5"/>
  <c r="M85" i="5"/>
  <c r="N85" i="5"/>
  <c r="O85" i="5"/>
  <c r="L83" i="5"/>
  <c r="M83" i="5"/>
  <c r="N83" i="5"/>
  <c r="O83" i="5"/>
  <c r="L82" i="5"/>
  <c r="M82" i="5"/>
  <c r="N82" i="5"/>
  <c r="O82" i="5"/>
  <c r="L81" i="5"/>
  <c r="M81" i="5"/>
  <c r="N81" i="5"/>
  <c r="O81" i="5"/>
  <c r="L80" i="5"/>
  <c r="M80" i="5"/>
  <c r="N80" i="5"/>
  <c r="O80" i="5"/>
  <c r="L79" i="5"/>
  <c r="M79" i="5"/>
  <c r="N79" i="5"/>
  <c r="O79" i="5"/>
  <c r="L78" i="5"/>
  <c r="M78" i="5"/>
  <c r="N78" i="5"/>
  <c r="O78" i="5"/>
  <c r="L77" i="5"/>
  <c r="M77" i="5"/>
  <c r="N77" i="5"/>
  <c r="O77" i="5"/>
  <c r="L76" i="5"/>
  <c r="M76" i="5"/>
  <c r="N76" i="5"/>
  <c r="O76" i="5"/>
  <c r="L75" i="5"/>
  <c r="M75" i="5"/>
  <c r="N75" i="5"/>
  <c r="O75" i="5"/>
  <c r="L74" i="5"/>
  <c r="M74" i="5"/>
  <c r="N74" i="5"/>
  <c r="O74" i="5"/>
  <c r="L73" i="5"/>
  <c r="M73" i="5"/>
  <c r="N73" i="5"/>
  <c r="O73" i="5"/>
  <c r="L72" i="5"/>
  <c r="M72" i="5"/>
  <c r="N72" i="5"/>
  <c r="O72" i="5"/>
  <c r="L71" i="5"/>
  <c r="M71" i="5"/>
  <c r="N71" i="5"/>
  <c r="O71" i="5"/>
  <c r="L70" i="5"/>
  <c r="M70" i="5"/>
  <c r="N70" i="5"/>
  <c r="O70" i="5"/>
  <c r="L69" i="5"/>
  <c r="M69" i="5"/>
  <c r="N69" i="5"/>
  <c r="O69" i="5"/>
  <c r="L68" i="5"/>
  <c r="M68" i="5"/>
  <c r="N68" i="5"/>
  <c r="O68" i="5"/>
  <c r="L67" i="5"/>
  <c r="M67" i="5"/>
  <c r="N67" i="5"/>
  <c r="O67" i="5"/>
  <c r="L66" i="5"/>
  <c r="M66" i="5"/>
  <c r="N66" i="5"/>
  <c r="O66" i="5"/>
  <c r="D36" i="8" l="1"/>
  <c r="D53" i="8"/>
  <c r="E50" i="8"/>
  <c r="E49" i="8"/>
  <c r="F62" i="6"/>
  <c r="E35" i="8"/>
  <c r="E40" i="8"/>
  <c r="E45" i="8" s="1"/>
  <c r="E16" i="8"/>
  <c r="E21" i="8"/>
  <c r="D22" i="8"/>
  <c r="E28" i="8"/>
  <c r="E11" i="8"/>
  <c r="F1" i="8"/>
  <c r="D29" i="8"/>
  <c r="E19" i="6"/>
  <c r="D1" i="6"/>
  <c r="D18" i="6" s="1"/>
  <c r="E60" i="6"/>
  <c r="E62" i="6" s="1"/>
  <c r="G11" i="6"/>
  <c r="G60" i="6"/>
  <c r="G62" i="6" s="1"/>
  <c r="G10" i="6"/>
  <c r="G20" i="6"/>
  <c r="G12" i="6"/>
  <c r="E12" i="6"/>
  <c r="E10" i="6"/>
  <c r="E13" i="6"/>
  <c r="E20" i="6"/>
  <c r="G18" i="6"/>
  <c r="G19" i="6"/>
  <c r="H1" i="6"/>
  <c r="H60" i="6" s="1"/>
  <c r="H62" i="6" s="1"/>
  <c r="E11" i="6"/>
  <c r="F21" i="6"/>
  <c r="E37" i="8" l="1"/>
  <c r="E53" i="8"/>
  <c r="F40" i="8"/>
  <c r="F45" i="8" s="1"/>
  <c r="F48" i="8"/>
  <c r="F15" i="6"/>
  <c r="E21" i="6"/>
  <c r="E15" i="6" s="1"/>
  <c r="D10" i="6"/>
  <c r="D19" i="6"/>
  <c r="E36" i="8"/>
  <c r="E29" i="8"/>
  <c r="E30" i="8"/>
  <c r="E17" i="8"/>
  <c r="E18" i="8"/>
  <c r="E42" i="8"/>
  <c r="E41" i="8"/>
  <c r="E12" i="8"/>
  <c r="E13" i="8"/>
  <c r="E22" i="8"/>
  <c r="E23" i="8"/>
  <c r="F28" i="8"/>
  <c r="F30" i="8" s="1"/>
  <c r="F21" i="8"/>
  <c r="F16" i="8"/>
  <c r="F35" i="8"/>
  <c r="G1" i="8"/>
  <c r="F11" i="8"/>
  <c r="D13" i="6"/>
  <c r="D12" i="6"/>
  <c r="D11" i="6"/>
  <c r="D20" i="6"/>
  <c r="D60" i="6"/>
  <c r="D62" i="6" s="1"/>
  <c r="G21" i="6"/>
  <c r="I1" i="6"/>
  <c r="J1" i="6" s="1"/>
  <c r="H12" i="6"/>
  <c r="H13" i="6"/>
  <c r="H11" i="6"/>
  <c r="H19" i="6"/>
  <c r="H20" i="6"/>
  <c r="H18" i="6"/>
  <c r="H10" i="6"/>
  <c r="F42" i="8" l="1"/>
  <c r="F41" i="8"/>
  <c r="F53" i="8"/>
  <c r="F50" i="8"/>
  <c r="F49" i="8"/>
  <c r="G40" i="8"/>
  <c r="G48" i="8"/>
  <c r="G15" i="6"/>
  <c r="K1" i="6"/>
  <c r="L1" i="6" s="1"/>
  <c r="L18" i="6" s="1"/>
  <c r="J12" i="6"/>
  <c r="J11" i="6"/>
  <c r="J60" i="6" s="1"/>
  <c r="J62" i="6" s="1"/>
  <c r="J10" i="6"/>
  <c r="J20" i="6"/>
  <c r="J18" i="6"/>
  <c r="J19" i="6"/>
  <c r="J13" i="6"/>
  <c r="D21" i="6"/>
  <c r="D15" i="6" s="1"/>
  <c r="F22" i="8"/>
  <c r="F23" i="8"/>
  <c r="F17" i="8"/>
  <c r="F18" i="8"/>
  <c r="F12" i="8"/>
  <c r="F13" i="8"/>
  <c r="F36" i="8"/>
  <c r="F37" i="8"/>
  <c r="F29" i="8"/>
  <c r="G28" i="8"/>
  <c r="G21" i="8"/>
  <c r="G16" i="8"/>
  <c r="H1" i="8"/>
  <c r="G11" i="8"/>
  <c r="G35" i="8"/>
  <c r="H21" i="6"/>
  <c r="I20" i="6"/>
  <c r="I18" i="6"/>
  <c r="I10" i="6"/>
  <c r="I11" i="6"/>
  <c r="I60" i="6" s="1"/>
  <c r="I62" i="6" s="1"/>
  <c r="I13" i="6"/>
  <c r="I12" i="6"/>
  <c r="I19" i="6"/>
  <c r="G53" i="8" l="1"/>
  <c r="G41" i="8"/>
  <c r="G45" i="8"/>
  <c r="G42" i="8"/>
  <c r="G50" i="8"/>
  <c r="G49" i="8"/>
  <c r="H40" i="8"/>
  <c r="H45" i="8" s="1"/>
  <c r="H48" i="8"/>
  <c r="H15" i="6"/>
  <c r="K20" i="6"/>
  <c r="K19" i="6"/>
  <c r="K18" i="6"/>
  <c r="K10" i="6"/>
  <c r="K13" i="6"/>
  <c r="K12" i="6"/>
  <c r="K11" i="6"/>
  <c r="K60" i="6" s="1"/>
  <c r="K62" i="6" s="1"/>
  <c r="J21" i="6"/>
  <c r="G12" i="8"/>
  <c r="G13" i="8"/>
  <c r="G22" i="8"/>
  <c r="G23" i="8"/>
  <c r="H42" i="8"/>
  <c r="H41" i="8"/>
  <c r="G17" i="8"/>
  <c r="G18" i="8"/>
  <c r="G29" i="8"/>
  <c r="G30" i="8"/>
  <c r="G36" i="8"/>
  <c r="G37" i="8"/>
  <c r="H28" i="8"/>
  <c r="H30" i="8" s="1"/>
  <c r="H21" i="8"/>
  <c r="H16" i="8"/>
  <c r="I1" i="8"/>
  <c r="H11" i="8"/>
  <c r="H35" i="8"/>
  <c r="H53" i="8" s="1"/>
  <c r="I21" i="6"/>
  <c r="L20" i="6"/>
  <c r="L10" i="6"/>
  <c r="L13" i="6"/>
  <c r="L19" i="6"/>
  <c r="L12" i="6"/>
  <c r="L11" i="6"/>
  <c r="L60" i="6" s="1"/>
  <c r="L62" i="6" s="1"/>
  <c r="D102" i="1"/>
  <c r="E102" i="1"/>
  <c r="F102" i="1"/>
  <c r="G102" i="1"/>
  <c r="H102" i="1"/>
  <c r="D97" i="1"/>
  <c r="E97" i="1"/>
  <c r="F97" i="1"/>
  <c r="G97" i="1"/>
  <c r="H97" i="1"/>
  <c r="D91" i="1"/>
  <c r="E91" i="1"/>
  <c r="F91" i="1"/>
  <c r="G91" i="1"/>
  <c r="H91" i="1"/>
  <c r="D101" i="1"/>
  <c r="E101" i="1"/>
  <c r="F101" i="1"/>
  <c r="G101" i="1"/>
  <c r="H101" i="1"/>
  <c r="D100" i="1"/>
  <c r="E100" i="1"/>
  <c r="F100" i="1"/>
  <c r="G100" i="1"/>
  <c r="H100" i="1"/>
  <c r="D99" i="1"/>
  <c r="E99" i="1"/>
  <c r="F99" i="1"/>
  <c r="G99" i="1"/>
  <c r="H99" i="1"/>
  <c r="D96" i="1"/>
  <c r="E96" i="1"/>
  <c r="F96" i="1"/>
  <c r="G96" i="1"/>
  <c r="H96" i="1"/>
  <c r="D95" i="1"/>
  <c r="E95" i="1"/>
  <c r="F95" i="1"/>
  <c r="G95" i="1"/>
  <c r="H95" i="1"/>
  <c r="D94" i="1"/>
  <c r="E94" i="1"/>
  <c r="F94" i="1"/>
  <c r="G94" i="1"/>
  <c r="H94" i="1"/>
  <c r="D93" i="1"/>
  <c r="E93" i="1"/>
  <c r="F93" i="1"/>
  <c r="G93" i="1"/>
  <c r="H93" i="1"/>
  <c r="D90" i="1"/>
  <c r="E90" i="1"/>
  <c r="F90" i="1"/>
  <c r="G90" i="1"/>
  <c r="H90" i="1"/>
  <c r="D89" i="1"/>
  <c r="E89" i="1"/>
  <c r="F89" i="1"/>
  <c r="G89" i="1"/>
  <c r="H89" i="1"/>
  <c r="D87" i="1"/>
  <c r="E87" i="1"/>
  <c r="F87" i="1"/>
  <c r="G87" i="1"/>
  <c r="H87" i="1"/>
  <c r="D86" i="1"/>
  <c r="E86" i="1"/>
  <c r="F86" i="1"/>
  <c r="G86" i="1"/>
  <c r="H86" i="1"/>
  <c r="D106" i="1"/>
  <c r="E106" i="1"/>
  <c r="F106" i="1"/>
  <c r="G106" i="1"/>
  <c r="H106" i="1"/>
  <c r="D105" i="1"/>
  <c r="E105" i="1"/>
  <c r="F105" i="1"/>
  <c r="G105" i="1"/>
  <c r="H105" i="1"/>
  <c r="D104" i="1"/>
  <c r="E104" i="1"/>
  <c r="F104" i="1"/>
  <c r="G104" i="1"/>
  <c r="H104" i="1"/>
  <c r="D84" i="1"/>
  <c r="E84" i="1"/>
  <c r="F84" i="1"/>
  <c r="G84" i="1"/>
  <c r="H84" i="1"/>
  <c r="D82" i="1"/>
  <c r="E82" i="1"/>
  <c r="F82" i="1"/>
  <c r="G82" i="1"/>
  <c r="H82" i="1"/>
  <c r="D81" i="1"/>
  <c r="E81" i="1"/>
  <c r="F81" i="1"/>
  <c r="G81" i="1"/>
  <c r="H81" i="1"/>
  <c r="D80" i="1"/>
  <c r="E80" i="1"/>
  <c r="F80" i="1"/>
  <c r="G80" i="1"/>
  <c r="H80" i="1"/>
  <c r="D79" i="1"/>
  <c r="E79" i="1"/>
  <c r="F79" i="1"/>
  <c r="G79" i="1"/>
  <c r="H79" i="1"/>
  <c r="D78" i="1"/>
  <c r="E78" i="1"/>
  <c r="F78" i="1"/>
  <c r="G78" i="1"/>
  <c r="H78" i="1"/>
  <c r="D77" i="1"/>
  <c r="E77" i="1"/>
  <c r="F77" i="1"/>
  <c r="G77" i="1"/>
  <c r="H77" i="1"/>
  <c r="D76" i="1"/>
  <c r="E76" i="1"/>
  <c r="F76" i="1"/>
  <c r="G76" i="1"/>
  <c r="H76" i="1"/>
  <c r="D75" i="1"/>
  <c r="E75" i="1"/>
  <c r="F75" i="1"/>
  <c r="G75" i="1"/>
  <c r="H75" i="1"/>
  <c r="D74" i="1"/>
  <c r="E74" i="1"/>
  <c r="F74" i="1"/>
  <c r="G74" i="1"/>
  <c r="H74" i="1"/>
  <c r="D73" i="1"/>
  <c r="E73" i="1"/>
  <c r="F73" i="1"/>
  <c r="G73" i="1"/>
  <c r="H73" i="1"/>
  <c r="D72" i="1"/>
  <c r="E72" i="1"/>
  <c r="F72" i="1"/>
  <c r="G72" i="1"/>
  <c r="H72" i="1"/>
  <c r="D71" i="1"/>
  <c r="E71" i="1"/>
  <c r="F71" i="1"/>
  <c r="G71" i="1"/>
  <c r="H71" i="1"/>
  <c r="D70" i="1"/>
  <c r="E70" i="1"/>
  <c r="F70" i="1"/>
  <c r="G70" i="1"/>
  <c r="H70" i="1"/>
  <c r="D69" i="1"/>
  <c r="E69" i="1"/>
  <c r="F69" i="1"/>
  <c r="G69" i="1"/>
  <c r="H69" i="1"/>
  <c r="D68" i="1"/>
  <c r="E68" i="1"/>
  <c r="F68" i="1"/>
  <c r="G68" i="1"/>
  <c r="H68" i="1"/>
  <c r="D67" i="1"/>
  <c r="E67" i="1"/>
  <c r="F67" i="1"/>
  <c r="G67" i="1"/>
  <c r="H67" i="1"/>
  <c r="D66" i="1"/>
  <c r="E66" i="1"/>
  <c r="F66" i="1"/>
  <c r="G66" i="1"/>
  <c r="H66" i="1"/>
  <c r="D65" i="1"/>
  <c r="E65" i="1"/>
  <c r="F65" i="1"/>
  <c r="G65" i="1"/>
  <c r="H65" i="1"/>
  <c r="I40" i="8" l="1"/>
  <c r="I48" i="8"/>
  <c r="H50" i="8"/>
  <c r="H49" i="8"/>
  <c r="J15" i="6"/>
  <c r="I15" i="6"/>
  <c r="K21" i="6"/>
  <c r="H17" i="8"/>
  <c r="H18" i="8"/>
  <c r="H22" i="8"/>
  <c r="H23" i="8"/>
  <c r="H36" i="8"/>
  <c r="H37" i="8"/>
  <c r="H12" i="8"/>
  <c r="H13" i="8"/>
  <c r="H29" i="8"/>
  <c r="I28" i="8"/>
  <c r="I16" i="8"/>
  <c r="I21" i="8"/>
  <c r="J1" i="8"/>
  <c r="I35" i="8"/>
  <c r="I11" i="8"/>
  <c r="L21" i="6"/>
  <c r="I42" i="8" l="1"/>
  <c r="I45" i="8"/>
  <c r="I53" i="8"/>
  <c r="I41" i="8"/>
  <c r="J40" i="8"/>
  <c r="J45" i="8" s="1"/>
  <c r="J48" i="8"/>
  <c r="I50" i="8"/>
  <c r="I49" i="8"/>
  <c r="L15" i="6"/>
  <c r="K15" i="6"/>
  <c r="J42" i="8"/>
  <c r="J41" i="8"/>
  <c r="I29" i="8"/>
  <c r="I30" i="8"/>
  <c r="I36" i="8"/>
  <c r="I37" i="8"/>
  <c r="I17" i="8"/>
  <c r="I18" i="8"/>
  <c r="I22" i="8"/>
  <c r="I23" i="8"/>
  <c r="I12" i="8"/>
  <c r="I13" i="8"/>
  <c r="J28" i="8"/>
  <c r="J16" i="8"/>
  <c r="J21" i="8"/>
  <c r="K1" i="8"/>
  <c r="J11" i="8"/>
  <c r="J35" i="8"/>
  <c r="D14" i="6" l="1"/>
  <c r="J53" i="8"/>
  <c r="K40" i="8"/>
  <c r="K48" i="8"/>
  <c r="J50" i="8"/>
  <c r="J49" i="8"/>
  <c r="J17" i="8"/>
  <c r="J18" i="8"/>
  <c r="J22" i="8"/>
  <c r="J23" i="8"/>
  <c r="J29" i="8"/>
  <c r="J30" i="8"/>
  <c r="J36" i="8"/>
  <c r="J37" i="8"/>
  <c r="J12" i="8"/>
  <c r="J13" i="8"/>
  <c r="K28" i="8"/>
  <c r="K30" i="8" s="1"/>
  <c r="K16" i="8"/>
  <c r="K21" i="8"/>
  <c r="L1" i="8"/>
  <c r="K35" i="8"/>
  <c r="K11" i="8"/>
  <c r="K42" i="8" l="1"/>
  <c r="K45" i="8"/>
  <c r="E14" i="6"/>
  <c r="K53" i="8"/>
  <c r="K41" i="8"/>
  <c r="L40" i="8"/>
  <c r="L48" i="8"/>
  <c r="K50" i="8"/>
  <c r="K49" i="8"/>
  <c r="K22" i="8"/>
  <c r="K23" i="8"/>
  <c r="K17" i="8"/>
  <c r="K18" i="8"/>
  <c r="K12" i="8"/>
  <c r="K13" i="8"/>
  <c r="K29" i="8"/>
  <c r="K36" i="8"/>
  <c r="K37" i="8"/>
  <c r="L28" i="8"/>
  <c r="L30" i="8" s="1"/>
  <c r="L16" i="8"/>
  <c r="L21" i="8"/>
  <c r="M1" i="8"/>
  <c r="L11" i="8"/>
  <c r="L35" i="8"/>
  <c r="L42" i="8" l="1"/>
  <c r="L45" i="8"/>
  <c r="F14" i="6"/>
  <c r="L53" i="8"/>
  <c r="L41" i="8"/>
  <c r="M40" i="8"/>
  <c r="M48" i="8"/>
  <c r="L50" i="8"/>
  <c r="L49" i="8"/>
  <c r="L17" i="8"/>
  <c r="L18" i="8"/>
  <c r="L12" i="8"/>
  <c r="L13" i="8"/>
  <c r="L22" i="8"/>
  <c r="L23" i="8"/>
  <c r="L29" i="8"/>
  <c r="L36" i="8"/>
  <c r="L37" i="8"/>
  <c r="M28" i="8"/>
  <c r="M30" i="8" s="1"/>
  <c r="M16" i="8"/>
  <c r="M21" i="8"/>
  <c r="N1" i="8"/>
  <c r="M35" i="8"/>
  <c r="M11" i="8"/>
  <c r="M42" i="8" l="1"/>
  <c r="M45" i="8"/>
  <c r="G14" i="6"/>
  <c r="M53" i="8"/>
  <c r="M41" i="8"/>
  <c r="N40" i="8"/>
  <c r="N48" i="8"/>
  <c r="M49" i="8"/>
  <c r="M50" i="8"/>
  <c r="M36" i="8"/>
  <c r="M37" i="8"/>
  <c r="M22" i="8"/>
  <c r="M23" i="8"/>
  <c r="M17" i="8"/>
  <c r="M18" i="8"/>
  <c r="M29" i="8"/>
  <c r="M12" i="8"/>
  <c r="M13" i="8"/>
  <c r="N28" i="8"/>
  <c r="N30" i="8" s="1"/>
  <c r="N16" i="8"/>
  <c r="N21" i="8"/>
  <c r="O1" i="8"/>
  <c r="N35" i="8"/>
  <c r="N11" i="8"/>
  <c r="N42" i="8" l="1"/>
  <c r="N45" i="8"/>
  <c r="H14" i="6"/>
  <c r="N53" i="8"/>
  <c r="N41" i="8"/>
  <c r="N49" i="8"/>
  <c r="N50" i="8"/>
  <c r="O40" i="8"/>
  <c r="O45" i="8" s="1"/>
  <c r="O48" i="8"/>
  <c r="O42" i="8"/>
  <c r="O41" i="8"/>
  <c r="N29" i="8"/>
  <c r="N36" i="8"/>
  <c r="N37" i="8"/>
  <c r="N22" i="8"/>
  <c r="N23" i="8"/>
  <c r="N17" i="8"/>
  <c r="N18" i="8"/>
  <c r="N12" i="8"/>
  <c r="N13" i="8"/>
  <c r="O28" i="8"/>
  <c r="O30" i="8" s="1"/>
  <c r="O21" i="8"/>
  <c r="O16" i="8"/>
  <c r="P1" i="8"/>
  <c r="O35" i="8"/>
  <c r="O11" i="8"/>
  <c r="I14" i="6" l="1"/>
  <c r="O53" i="8"/>
  <c r="P48" i="8"/>
  <c r="Q1" i="8"/>
  <c r="O49" i="8"/>
  <c r="O50" i="8"/>
  <c r="O29" i="8"/>
  <c r="O17" i="8"/>
  <c r="O18" i="8"/>
  <c r="P40" i="8"/>
  <c r="P45" i="8" s="1"/>
  <c r="O22" i="8"/>
  <c r="O23" i="8"/>
  <c r="O12" i="8"/>
  <c r="O13" i="8"/>
  <c r="O36" i="8"/>
  <c r="O37" i="8"/>
  <c r="P28" i="8"/>
  <c r="P30" i="8" s="1"/>
  <c r="P21" i="8"/>
  <c r="P16" i="8"/>
  <c r="P11" i="8"/>
  <c r="P35" i="8"/>
  <c r="J14" i="6" l="1"/>
  <c r="P53" i="8"/>
  <c r="R1" i="8"/>
  <c r="Q48" i="8"/>
  <c r="Q28" i="8"/>
  <c r="Q40" i="8"/>
  <c r="Q45" i="8" s="1"/>
  <c r="Q11" i="8"/>
  <c r="Q16" i="8"/>
  <c r="Q35" i="8"/>
  <c r="Q53" i="8" s="1"/>
  <c r="Q21" i="8"/>
  <c r="P49" i="8"/>
  <c r="P50" i="8"/>
  <c r="P36" i="8"/>
  <c r="P37" i="8"/>
  <c r="P12" i="8"/>
  <c r="P13" i="8"/>
  <c r="P29" i="8"/>
  <c r="P17" i="8"/>
  <c r="P18" i="8"/>
  <c r="P22" i="8"/>
  <c r="P23" i="8"/>
  <c r="P42" i="8"/>
  <c r="G47" i="9"/>
  <c r="G46" i="9" s="1"/>
  <c r="P41" i="8"/>
  <c r="Q23" i="8" l="1"/>
  <c r="Q11" i="5"/>
  <c r="Q22" i="8"/>
  <c r="Q18" i="8"/>
  <c r="Q17" i="8"/>
  <c r="Q42" i="8"/>
  <c r="Q41" i="8"/>
  <c r="Q30" i="8"/>
  <c r="Q29" i="8"/>
  <c r="Q13" i="8"/>
  <c r="Q12" i="8"/>
  <c r="Q49" i="8"/>
  <c r="Q50" i="8"/>
  <c r="K14" i="6"/>
  <c r="Q37" i="8"/>
  <c r="Q36" i="8"/>
  <c r="R40" i="8"/>
  <c r="R11" i="8"/>
  <c r="R13" i="8" s="1"/>
  <c r="R16" i="8"/>
  <c r="R18" i="8" s="1"/>
  <c r="R35" i="8"/>
  <c r="R28" i="8"/>
  <c r="R30" i="8" s="1"/>
  <c r="R21" i="8"/>
  <c r="R48" i="8"/>
  <c r="R49" i="8" s="1"/>
  <c r="R41" i="8" l="1"/>
  <c r="S41" i="8" s="1"/>
  <c r="R45" i="8"/>
  <c r="R53" i="8"/>
  <c r="R42" i="8"/>
  <c r="R17" i="8"/>
  <c r="S17" i="8" s="1"/>
  <c r="R23" i="8"/>
  <c r="R11" i="5"/>
  <c r="S49" i="8"/>
  <c r="R50" i="8"/>
  <c r="L14" i="6"/>
  <c r="R37" i="8"/>
  <c r="R12" i="8"/>
  <c r="S12" i="8" s="1"/>
  <c r="R29" i="8"/>
  <c r="S29" i="8" s="1"/>
  <c r="R36" i="8"/>
  <c r="S36" i="8" s="1"/>
  <c r="Q14" i="5"/>
  <c r="Q70" i="5" s="1"/>
  <c r="Q67" i="5"/>
  <c r="R22" i="8"/>
  <c r="S22" i="8" s="1"/>
  <c r="S46" i="8" l="1"/>
  <c r="S45" i="8"/>
  <c r="R14" i="5"/>
  <c r="R70" i="5" s="1"/>
  <c r="R6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Larry Hobson</author>
  </authors>
  <commentList>
    <comment ref="Q14" authorId="0" shapeId="0" xr:uid="{911B39F2-1A4F-48BE-9067-48C488136BE1}">
      <text>
        <r>
          <rPr>
            <b/>
            <sz val="9"/>
            <color indexed="81"/>
            <rFont val="Tahoma"/>
            <family val="2"/>
          </rPr>
          <t>Larry Hobson:</t>
        </r>
        <r>
          <rPr>
            <sz val="9"/>
            <color indexed="81"/>
            <rFont val="Tahoma"/>
            <family val="2"/>
          </rPr>
          <t xml:space="preserve">
Balancing figure to reach total revenue.</t>
        </r>
      </text>
    </comment>
    <comment ref="R14" authorId="0" shapeId="0" xr:uid="{92F3ACE8-A83A-4210-BD84-88A42322CECB}">
      <text>
        <r>
          <rPr>
            <b/>
            <sz val="9"/>
            <color indexed="81"/>
            <rFont val="Tahoma"/>
            <family val="2"/>
          </rPr>
          <t>Larry Hobson:</t>
        </r>
        <r>
          <rPr>
            <sz val="9"/>
            <color indexed="81"/>
            <rFont val="Tahoma"/>
            <family val="2"/>
          </rPr>
          <t xml:space="preserve">
Balancing figure to reach total revenue.</t>
        </r>
      </text>
    </comment>
    <comment ref="Q49" authorId="0" shapeId="0" xr:uid="{19A4F591-DAA3-407F-A02D-513269845B7E}">
      <text>
        <r>
          <rPr>
            <b/>
            <sz val="9"/>
            <color indexed="81"/>
            <rFont val="Tahoma"/>
            <family val="2"/>
          </rPr>
          <t>Larry Hobson:</t>
        </r>
        <r>
          <rPr>
            <sz val="9"/>
            <color indexed="81"/>
            <rFont val="Tahoma"/>
            <family val="2"/>
          </rPr>
          <t xml:space="preserve">
Note 50 in the 2023-24 Audited AFS.
</t>
        </r>
      </text>
    </comment>
    <comment ref="R49" authorId="0" shapeId="0" xr:uid="{38ADC2B4-C7E3-421B-9E9C-8ACE7D481799}">
      <text>
        <r>
          <rPr>
            <b/>
            <sz val="9"/>
            <color indexed="81"/>
            <rFont val="Tahoma"/>
            <family val="2"/>
          </rPr>
          <t>Larry Hobson:</t>
        </r>
        <r>
          <rPr>
            <sz val="9"/>
            <color indexed="81"/>
            <rFont val="Tahoma"/>
            <family val="2"/>
          </rPr>
          <t xml:space="preserve">
Note 50 in the 2023-24 Audited AFS.</t>
        </r>
      </text>
    </comment>
    <comment ref="Q50" authorId="0" shapeId="0" xr:uid="{B500716C-329A-4503-A743-456CE71679E1}">
      <text>
        <r>
          <rPr>
            <b/>
            <sz val="9"/>
            <color indexed="81"/>
            <rFont val="Tahoma"/>
            <family val="2"/>
          </rPr>
          <t>Larry Hobson:</t>
        </r>
        <r>
          <rPr>
            <sz val="9"/>
            <color indexed="81"/>
            <rFont val="Tahoma"/>
            <family val="2"/>
          </rPr>
          <t xml:space="preserve">
Debt Impairment included in Unauthorised Expenditure, so reversed it to avoid double counting debt impairment.</t>
        </r>
      </text>
    </comment>
    <comment ref="R50" authorId="0" shapeId="0" xr:uid="{DEF2016E-F9B2-41DC-9144-DC0FDC8127FD}">
      <text>
        <r>
          <rPr>
            <b/>
            <sz val="9"/>
            <color indexed="81"/>
            <rFont val="Tahoma"/>
            <family val="2"/>
          </rPr>
          <t>Larry Hobson:</t>
        </r>
        <r>
          <rPr>
            <sz val="9"/>
            <color indexed="81"/>
            <rFont val="Tahoma"/>
            <family val="2"/>
          </rPr>
          <t xml:space="preserve">
Debt Impairment included in Unauthorised Expenditure, so reversed it to avoid double counting debt impairment.</t>
        </r>
      </text>
    </comment>
  </commentList>
</comments>
</file>

<file path=xl/sharedStrings.xml><?xml version="1.0" encoding="utf-8"?>
<sst xmlns="http://schemas.openxmlformats.org/spreadsheetml/2006/main" count="1926" uniqueCount="592">
  <si>
    <t>All values: R'000</t>
  </si>
  <si>
    <t>2021/22</t>
  </si>
  <si>
    <t>2020/21</t>
  </si>
  <si>
    <t>2019/20</t>
  </si>
  <si>
    <t>2018/19</t>
  </si>
  <si>
    <t>2017/18</t>
  </si>
  <si>
    <t>AUDIT OUTCOME </t>
  </si>
  <si>
    <t>Financially unqualified</t>
  </si>
  <si>
    <t>FINANCIAL PERFORMANCE</t>
  </si>
  <si>
    <t>Property rates</t>
  </si>
  <si>
    <t>Service charges</t>
  </si>
  <si>
    <t>Investment revenue</t>
  </si>
  <si>
    <t>Transfers recognised - operational</t>
  </si>
  <si>
    <t>Other own revenue</t>
  </si>
  <si>
    <t>Total Revenue (excluding capital transfers and contributions)</t>
  </si>
  <si>
    <t>Employee costs</t>
  </si>
  <si>
    <t>Remuneration of councillors</t>
  </si>
  <si>
    <t>Depreciation &amp; asset impairment</t>
  </si>
  <si>
    <t>Finance charges</t>
  </si>
  <si>
    <t>Materials and bulk purchases</t>
  </si>
  <si>
    <t>Transfers and grants</t>
  </si>
  <si>
    <t>Other expenditure</t>
  </si>
  <si>
    <t>Total Expenditure</t>
  </si>
  <si>
    <t>Surplus/(Deficit)</t>
  </si>
  <si>
    <t>Transfers recognised - capital</t>
  </si>
  <si>
    <t>Contributions recognised - capital &amp; contributed assets</t>
  </si>
  <si>
    <t>Surplus/(Deficit) after capital transfers &amp; contributions</t>
  </si>
  <si>
    <t>Share of surplus/(deficit) of associate</t>
  </si>
  <si>
    <t>-</t>
  </si>
  <si>
    <t>Surplus/(Deficit) for the year</t>
  </si>
  <si>
    <t>CAPITAL EXPENDITURE &amp; FUNDS SOURCES</t>
  </si>
  <si>
    <t>Capital expenditure</t>
  </si>
  <si>
    <t>Public contributions &amp; donations</t>
  </si>
  <si>
    <t>n/a</t>
  </si>
  <si>
    <t>Borrowing</t>
  </si>
  <si>
    <t>Internally generated funds</t>
  </si>
  <si>
    <t>Total sources of capital funds</t>
  </si>
  <si>
    <t>FINANCIAL POSITION</t>
  </si>
  <si>
    <t>Total current assets</t>
  </si>
  <si>
    <t>Total non current assets</t>
  </si>
  <si>
    <t>Total current liabilities</t>
  </si>
  <si>
    <t>Total non current liabilities</t>
  </si>
  <si>
    <t>Community wealth/Equity</t>
  </si>
  <si>
    <t>CASH FLOWS</t>
  </si>
  <si>
    <t>Net cash from (used) operating</t>
  </si>
  <si>
    <t>Net cash from (used) investing</t>
  </si>
  <si>
    <t>Net cash from (used) financing</t>
  </si>
  <si>
    <t>Cash/cash equivalents at the year end</t>
  </si>
  <si>
    <t>UNAUTHORISED, IRREGULAR, FRUITLESS &amp; WASTEFUL EXPENDITURE</t>
  </si>
  <si>
    <t>Unauthorised expenditure</t>
  </si>
  <si>
    <t>Irregular expenditure</t>
  </si>
  <si>
    <t>Fruitless &amp; wasteful expenditure</t>
  </si>
  <si>
    <t>SOURCE</t>
  </si>
  <si>
    <t>Audited Outcome</t>
  </si>
  <si>
    <t>C1 2023 Q1</t>
  </si>
  <si>
    <t>A1 2022</t>
  </si>
  <si>
    <t>A1 2021</t>
  </si>
  <si>
    <t>Financial Results</t>
  </si>
  <si>
    <t>https://municipalities.co.za/financial/2/city-of-johannesburg-metropolitan-municipality</t>
  </si>
  <si>
    <t>Common Size Analysis</t>
  </si>
  <si>
    <t>as % of total revenue</t>
  </si>
  <si>
    <t>Employment Statistics</t>
  </si>
  <si>
    <t>2016/17</t>
  </si>
  <si>
    <t>2015/16</t>
  </si>
  <si>
    <t>Employment</t>
  </si>
  <si>
    <t>Employment Costs (R’000)</t>
  </si>
  <si>
    <t>Remuneration of councillors (R’000)</t>
  </si>
  <si>
    <t>Total Employee Positions</t>
  </si>
  <si>
    <t>Total Vacant Employee Positions</t>
  </si>
  <si>
    <t>Total Vacancy Percentage</t>
  </si>
  <si>
    <t>Managerial Positions - S56</t>
  </si>
  <si>
    <t>Vacant Managerial Positions - S56</t>
  </si>
  <si>
    <t>Managerial Positions - by organogram</t>
  </si>
  <si>
    <t>Vacant Managerial Positions - by organogram</t>
  </si>
  <si>
    <t>Community And Social Service Positions</t>
  </si>
  <si>
    <r>
      <t>The information in this directory is compiled from various </t>
    </r>
    <r>
      <rPr>
        <sz val="7"/>
        <color rgb="FF53758E"/>
        <rFont val="Source Sans Pro"/>
        <family val="2"/>
      </rPr>
      <t>sources</t>
    </r>
    <r>
      <rPr>
        <sz val="7"/>
        <color rgb="FF9BA0A8"/>
        <rFont val="Source Sans Pro"/>
        <family val="2"/>
      </rPr>
      <t> and is subject to continual change. If you notice any errors or omissions, </t>
    </r>
    <r>
      <rPr>
        <sz val="7"/>
        <color rgb="FF53758E"/>
        <rFont val="Source Sans Pro"/>
        <family val="2"/>
      </rPr>
      <t>contact us</t>
    </r>
    <r>
      <rPr>
        <sz val="7"/>
        <color rgb="FF9BA0A8"/>
        <rFont val="Source Sans Pro"/>
        <family val="2"/>
      </rPr>
      <t> so that we may correct them.</t>
    </r>
  </si>
  <si>
    <t>Service Delivery Statistics</t>
  </si>
  <si>
    <t>Water</t>
  </si>
  <si>
    <t>Does the municipality provide?</t>
  </si>
  <si>
    <t>Yes</t>
  </si>
  <si>
    <t>Is the service outsourced/commercialised?</t>
  </si>
  <si>
    <t>Number of households and non-domestic customers to which provided</t>
  </si>
  <si>
    <t>Number of domestic households/delivery points</t>
  </si>
  <si>
    <t>Inside the yard</t>
  </si>
  <si>
    <t>Less than 200m from yard</t>
  </si>
  <si>
    <t>More than 200m from yard</t>
  </si>
  <si>
    <t>Domestic households with access to free basic service</t>
  </si>
  <si>
    <t>Electricity</t>
  </si>
  <si>
    <t>Sewerage and Sanitation</t>
  </si>
  <si>
    <t>No</t>
  </si>
  <si>
    <t>Number of households using:</t>
  </si>
  <si>
    <t>Flush toilet - public sewerage</t>
  </si>
  <si>
    <t>Flush toilet - septic tank</t>
  </si>
  <si>
    <t>Ventilated pit latrine</t>
  </si>
  <si>
    <t>Bucket system</t>
  </si>
  <si>
    <t>Other</t>
  </si>
  <si>
    <t>Solid Waste Services</t>
  </si>
  <si>
    <t>Finance Common Size Analysis</t>
  </si>
  <si>
    <t>Revenue</t>
  </si>
  <si>
    <t>Employment Costs</t>
  </si>
  <si>
    <t>R Bn</t>
  </si>
  <si>
    <t>Capital Expenditure</t>
  </si>
  <si>
    <t>Materials &amp; Bulk Purchases</t>
  </si>
  <si>
    <t>Total Employee Positions Filled</t>
  </si>
  <si>
    <t>Average cost per position filled (R'000)</t>
  </si>
  <si>
    <t>Revenue v Selected Costs</t>
  </si>
  <si>
    <t>Source:</t>
  </si>
  <si>
    <t>https://municipalities.co.za/employment/2/city-of-johannesburg-metropolitan-municipality</t>
  </si>
  <si>
    <t>City of Johannesburg Metropolitan Municipality - Services (municipalities.co.za)</t>
  </si>
  <si>
    <t>City of Johannesburg Metropolitan Municipality - Resources (municipalities.co.za)</t>
  </si>
  <si>
    <t>Annual Reports</t>
  </si>
  <si>
    <t>Annual Report 2021/22</t>
  </si>
  <si>
    <t>Annual Report 2020/21</t>
  </si>
  <si>
    <t>Annual Report 2019/20</t>
  </si>
  <si>
    <t>Annual Report 2018/19</t>
  </si>
  <si>
    <t>Annual Report 2017/18</t>
  </si>
  <si>
    <t>Annual Report 2016/17</t>
  </si>
  <si>
    <t>Annual Report 2014/15</t>
  </si>
  <si>
    <t>Annual Report 2013/14</t>
  </si>
  <si>
    <t>Annual Report 2012/13</t>
  </si>
  <si>
    <t>Annual Report 2011/12</t>
  </si>
  <si>
    <t>Audited Financial Statements</t>
  </si>
  <si>
    <t>AFS 2021/22</t>
  </si>
  <si>
    <t>AFS 2020/21</t>
  </si>
  <si>
    <t>AFS 2019/20</t>
  </si>
  <si>
    <t>AFS 2018/19</t>
  </si>
  <si>
    <t>AFS 2017/18</t>
  </si>
  <si>
    <t>AFS 2016/17</t>
  </si>
  <si>
    <t>AFS 2015/16</t>
  </si>
  <si>
    <t>AFS 2014/15</t>
  </si>
  <si>
    <t>AFS 2013/14</t>
  </si>
  <si>
    <t>AFS 2012/13</t>
  </si>
  <si>
    <t>AFS 2011/12</t>
  </si>
  <si>
    <t>AFS 2010/11</t>
  </si>
  <si>
    <t>Integrated Development Plans</t>
  </si>
  <si>
    <t>IDP 2019/20</t>
  </si>
  <si>
    <t>IDP 2018/19</t>
  </si>
  <si>
    <t>IDP 2017/18</t>
  </si>
  <si>
    <t>IDP 2016/17</t>
  </si>
  <si>
    <t>IDP 2015/16</t>
  </si>
  <si>
    <t>IDP 2014/15</t>
  </si>
  <si>
    <t>IDP 2013/14</t>
  </si>
  <si>
    <t>IDP 2012/13</t>
  </si>
  <si>
    <t>IDP 2011/12</t>
  </si>
  <si>
    <t>MFMA Section 71 – Schedule C</t>
  </si>
  <si>
    <t>Schedule C 2021/22</t>
  </si>
  <si>
    <t>Schedule C 2020/21</t>
  </si>
  <si>
    <t>Schedule C 2019/20</t>
  </si>
  <si>
    <t>Schedule C 2018/19</t>
  </si>
  <si>
    <t>Schedule C 2017/18</t>
  </si>
  <si>
    <t>Schedule C 2016/17</t>
  </si>
  <si>
    <t>Schedule C 2015/16</t>
  </si>
  <si>
    <t>Schedule C 2014/15</t>
  </si>
  <si>
    <t>Schedule C 2013/14</t>
  </si>
  <si>
    <t>Schedule C 2012/13</t>
  </si>
  <si>
    <t>Schedule C 2011/12</t>
  </si>
  <si>
    <t>Schedule C 2010/11</t>
  </si>
  <si>
    <t>https://lg.treasury.gov.za/supportingdocs/JHB/JHB_Financial%20Statement%20Audited_2022_Y_20230113T143840Z_nselelon.pdf</t>
  </si>
  <si>
    <t>2014/15</t>
  </si>
  <si>
    <t>2013/14</t>
  </si>
  <si>
    <t>2012/13</t>
  </si>
  <si>
    <t>2011/12</t>
  </si>
  <si>
    <t>2010/11</t>
  </si>
  <si>
    <t>Debt Impairment</t>
  </si>
  <si>
    <t>2009/10</t>
  </si>
  <si>
    <t>Revenue compared to 2010</t>
  </si>
  <si>
    <t>Debt Impairment Compared to 2010</t>
  </si>
  <si>
    <t>Employement Costs Compared to 2010</t>
  </si>
  <si>
    <t>Property Rates Income</t>
  </si>
  <si>
    <t>Property Rates Income compared to 2010</t>
  </si>
  <si>
    <t>Service Charge Income</t>
  </si>
  <si>
    <t>Service Charge Income compared to 2010</t>
  </si>
  <si>
    <t>Total Revenue</t>
  </si>
  <si>
    <t>Purchase of Capital Assets (proxy for Annual Infrastructure Development Spend)</t>
  </si>
  <si>
    <t>Capital Expenditure Compared to 2010</t>
  </si>
  <si>
    <t>Water &amp; Sanitation</t>
  </si>
  <si>
    <t>New Assets</t>
  </si>
  <si>
    <t>Adj Budget</t>
  </si>
  <si>
    <t>Actual</t>
  </si>
  <si>
    <t>R'm</t>
  </si>
  <si>
    <t>Variance</t>
  </si>
  <si>
    <t>Renewal</t>
  </si>
  <si>
    <t>Pikitup</t>
  </si>
  <si>
    <t>City Power</t>
  </si>
  <si>
    <t>Delays in delivery of critical materials</t>
  </si>
  <si>
    <t>Delays in procurement processes</t>
  </si>
  <si>
    <t>Non-controllable Service Connections</t>
  </si>
  <si>
    <t>Non-controllable Insurable Events</t>
  </si>
  <si>
    <t>Cumulative</t>
  </si>
  <si>
    <t>Free Basic Services &amp; Indigent Support</t>
  </si>
  <si>
    <t>Housing</t>
  </si>
  <si>
    <t>JOSHCO</t>
  </si>
  <si>
    <t>Transport</t>
  </si>
  <si>
    <t>Johannesburg Roads Agency</t>
  </si>
  <si>
    <t>Metrobus</t>
  </si>
  <si>
    <t>Actual was 74% of budget</t>
  </si>
  <si>
    <t>Economic Development</t>
  </si>
  <si>
    <t>No proper table or analysis</t>
  </si>
  <si>
    <t>Tourism</t>
  </si>
  <si>
    <t>No capex</t>
  </si>
  <si>
    <t>Development Planning</t>
  </si>
  <si>
    <t>JDA</t>
  </si>
  <si>
    <t>Poor contractor performance</t>
  </si>
  <si>
    <t>Joburg Property Company</t>
  </si>
  <si>
    <t>Health</t>
  </si>
  <si>
    <t>Community Development</t>
  </si>
  <si>
    <t>Several projects has budget of around R10m with no or very little spend.</t>
  </si>
  <si>
    <t>City Parks &amp; Zoo</t>
  </si>
  <si>
    <t>Environmental &amp; Infrastructure Services Development</t>
  </si>
  <si>
    <t>Public Safety</t>
  </si>
  <si>
    <t>Group ICT</t>
  </si>
  <si>
    <t>Capex per Cash Flow</t>
  </si>
  <si>
    <t>Incl. Power Systems</t>
  </si>
  <si>
    <t>Incl. Informal Settlements</t>
  </si>
  <si>
    <t>Incl. Klipspruit 7, Kliptown</t>
  </si>
  <si>
    <t>Incl. Small Public Transport Orange Farm ext 7</t>
  </si>
  <si>
    <t>Incl. Clinics/Child Care Centres</t>
  </si>
  <si>
    <t>Incl. Rehab of Braamfontein Spruit</t>
  </si>
  <si>
    <t>Incl. Ground Water</t>
  </si>
  <si>
    <t>Incl. Waste Treatment Technologies</t>
  </si>
  <si>
    <t>Incl. Waste Management - Biodigester</t>
  </si>
  <si>
    <t>City Power 5 year profile</t>
  </si>
  <si>
    <t>Page</t>
  </si>
  <si>
    <t>Section</t>
  </si>
  <si>
    <t>Division</t>
  </si>
  <si>
    <t>Comment</t>
  </si>
  <si>
    <t>Contract cancellation by JRA</t>
  </si>
  <si>
    <t>Incl. Redevelopment of Inner City Ranks</t>
  </si>
  <si>
    <t>Incl. Refurbishment of Bulk Infrastructure</t>
  </si>
  <si>
    <t>Reconciling amount (missing figures above)</t>
  </si>
  <si>
    <t>Capex extracts from CoJ Integrated Report for 2021-22</t>
  </si>
  <si>
    <t>24 Oct 2023</t>
  </si>
  <si>
    <t>2022/23</t>
  </si>
  <si>
    <t>Annual % Increase</t>
  </si>
  <si>
    <t>City of Joburg</t>
  </si>
  <si>
    <t>Analysis of Selected Income and Costs</t>
  </si>
  <si>
    <t>Extracts from Department Finance Report 2023</t>
  </si>
  <si>
    <t>Extracts from Audited Annual Financial Statements</t>
  </si>
  <si>
    <t>Source: municipalities.co.za website</t>
  </si>
  <si>
    <t>Financial Results, Common Size Analysis and Employment &amp; Service Delivery Stats for 5 years</t>
  </si>
  <si>
    <t>Financial Performance and Common Size Analysis for 5 years</t>
  </si>
  <si>
    <t>Employment figures for 5 years</t>
  </si>
  <si>
    <t>Service Delivery figures for 5 years</t>
  </si>
  <si>
    <t>Links to information sources</t>
  </si>
  <si>
    <t>Analysis of Selected Income and Costs per CoJ Audited Annual Financial Statements</t>
  </si>
  <si>
    <t>2023/24</t>
  </si>
  <si>
    <t>13 502 187</t>
  </si>
  <si>
    <t>13 035 302</t>
  </si>
  <si>
    <t>12 552 806</t>
  </si>
  <si>
    <t>33 247 397</t>
  </si>
  <si>
    <t>32 125 722</t>
  </si>
  <si>
    <t>30 528 307</t>
  </si>
  <si>
    <t>198 911</t>
  </si>
  <si>
    <t>282 486</t>
  </si>
  <si>
    <t>363 362</t>
  </si>
  <si>
    <t>10 719 529</t>
  </si>
  <si>
    <t>14 975 039</t>
  </si>
  <si>
    <t>13 315 287</t>
  </si>
  <si>
    <t>2 980 152</t>
  </si>
  <si>
    <t>5 669 067</t>
  </si>
  <si>
    <t>6 591 793</t>
  </si>
  <si>
    <t>60 648 177</t>
  </si>
  <si>
    <t>66 087 617</t>
  </si>
  <si>
    <t>63 351 554</t>
  </si>
  <si>
    <t>15 756 481</t>
  </si>
  <si>
    <t>15 844 916</t>
  </si>
  <si>
    <t>14 852 303</t>
  </si>
  <si>
    <t>163 541</t>
  </si>
  <si>
    <t>168 115</t>
  </si>
  <si>
    <t>166 266</t>
  </si>
  <si>
    <t>Depreciation and amortisation</t>
  </si>
  <si>
    <t>3 767 044</t>
  </si>
  <si>
    <t>3 997 697</t>
  </si>
  <si>
    <t>3 293 980</t>
  </si>
  <si>
    <t>2 746 262</t>
  </si>
  <si>
    <t>3 784 792</t>
  </si>
  <si>
    <t>3 885 854</t>
  </si>
  <si>
    <t>Inventory consumed and bulk purchases</t>
  </si>
  <si>
    <t>20 949 278</t>
  </si>
  <si>
    <t>20 949 269</t>
  </si>
  <si>
    <t>18 665 656</t>
  </si>
  <si>
    <t>18 065 918</t>
  </si>
  <si>
    <t>Transfers and subsidies</t>
  </si>
  <si>
    <t>144 371</t>
  </si>
  <si>
    <t>4 210 130</t>
  </si>
  <si>
    <t>4 827 300</t>
  </si>
  <si>
    <t>18 300 456</t>
  </si>
  <si>
    <t>18 300 455</t>
  </si>
  <si>
    <t>21 810 332</t>
  </si>
  <si>
    <t>18 051 764</t>
  </si>
  <si>
    <t>61 827 435</t>
  </si>
  <si>
    <t>61 827 425</t>
  </si>
  <si>
    <t>68 481 638</t>
  </si>
  <si>
    <t>63 143 385</t>
  </si>
  <si>
    <t>(1 179 258)</t>
  </si>
  <si>
    <t>(1 179 248)</t>
  </si>
  <si>
    <t>(2 394 021)</t>
  </si>
  <si>
    <t>208 169</t>
  </si>
  <si>
    <t>Transfers and subsidies - capital (monetary allocations)</t>
  </si>
  <si>
    <t>1 811 395</t>
  </si>
  <si>
    <t>2 585 000</t>
  </si>
  <si>
    <t>2 535 521</t>
  </si>
  <si>
    <t>Transfers and subsidies - capital (in-kind)</t>
  </si>
  <si>
    <t>331 889</t>
  </si>
  <si>
    <t>632 137</t>
  </si>
  <si>
    <t>632 147</t>
  </si>
  <si>
    <t>190 979</t>
  </si>
  <si>
    <t>3 075 578</t>
  </si>
  <si>
    <t>620 635</t>
  </si>
  <si>
    <t>2 209 408</t>
  </si>
  <si>
    <t>1 252 772</t>
  </si>
  <si>
    <t>1 252 782</t>
  </si>
  <si>
    <t>2 400 387</t>
  </si>
  <si>
    <t>6 645 902</t>
  </si>
  <si>
    <t>6 098 440</t>
  </si>
  <si>
    <t>5 784 231</t>
  </si>
  <si>
    <t>2 484 791</t>
  </si>
  <si>
    <t>2 867 611</t>
  </si>
  <si>
    <t>3 086 384</t>
  </si>
  <si>
    <t>2 034 550</t>
  </si>
  <si>
    <t>1 992 501</t>
  </si>
  <si>
    <t>1 858 409</t>
  </si>
  <si>
    <t>2 126 560</t>
  </si>
  <si>
    <t>1 236 497</t>
  </si>
  <si>
    <t>726 089</t>
  </si>
  <si>
    <t>6 096 608</t>
  </si>
  <si>
    <t>5 670 881</t>
  </si>
  <si>
    <t>38 678 893</t>
  </si>
  <si>
    <t>28 482 738</t>
  </si>
  <si>
    <t>44 152 444</t>
  </si>
  <si>
    <t>89 317 238</t>
  </si>
  <si>
    <t>96 080 812</t>
  </si>
  <si>
    <t>92 293 792</t>
  </si>
  <si>
    <t>42 970 637</t>
  </si>
  <si>
    <t>42 970 627</t>
  </si>
  <si>
    <t>25 578 246</t>
  </si>
  <si>
    <t>42 609 267</t>
  </si>
  <si>
    <t>25 771 454</t>
  </si>
  <si>
    <t>40 439 631</t>
  </si>
  <si>
    <t>38 286 506</t>
  </si>
  <si>
    <t>58 181 585</t>
  </si>
  <si>
    <t>56 054 445</t>
  </si>
  <si>
    <t>52 409 148</t>
  </si>
  <si>
    <t>4 072 951</t>
  </si>
  <si>
    <t>68 794 095</t>
  </si>
  <si>
    <t>53 970 905</t>
  </si>
  <si>
    <t>1 951</t>
  </si>
  <si>
    <t>579 781</t>
  </si>
  <si>
    <t>938 467</t>
  </si>
  <si>
    <t>4 722 549</t>
  </si>
  <si>
    <t>75 453 398</t>
  </si>
  <si>
    <t>55 899 056</t>
  </si>
  <si>
    <t>1 289 984</t>
  </si>
  <si>
    <t>4 246 083</t>
  </si>
  <si>
    <t>1 003 250</t>
  </si>
  <si>
    <t>59 468</t>
  </si>
  <si>
    <t>811 433</t>
  </si>
  <si>
    <t>1 384 993</t>
  </si>
  <si>
    <t>1 118 009</t>
  </si>
  <si>
    <t>1 045 558</t>
  </si>
  <si>
    <t>8 489</t>
  </si>
  <si>
    <t>490 033</t>
  </si>
  <si>
    <t>11 380</t>
  </si>
  <si>
    <t>25 172</t>
  </si>
  <si>
    <t>A1 2024</t>
  </si>
  <si>
    <t>A1 2023</t>
  </si>
  <si>
    <r>
      <t>The information in this directory is compiled from various </t>
    </r>
    <r>
      <rPr>
        <sz val="6"/>
        <color rgb="FF53758E"/>
        <rFont val="Source Sans Pro"/>
        <family val="2"/>
      </rPr>
      <t>sources</t>
    </r>
    <r>
      <rPr>
        <sz val="6"/>
        <color rgb="FF9BA0A8"/>
        <rFont val="Source Sans Pro"/>
        <family val="2"/>
      </rPr>
      <t> and is subject to continual change. If you notice any errors or omissions, </t>
    </r>
    <r>
      <rPr>
        <sz val="6"/>
        <color rgb="FF53758E"/>
        <rFont val="Source Sans Pro"/>
        <family val="2"/>
      </rPr>
      <t>contact us</t>
    </r>
    <r>
      <rPr>
        <sz val="6"/>
        <color rgb="FF9BA0A8"/>
        <rFont val="Source Sans Pro"/>
        <family val="2"/>
      </rPr>
      <t> so that we may correct them.</t>
    </r>
  </si>
  <si>
    <t>13 555 280</t>
  </si>
  <si>
    <t>11 631 360</t>
  </si>
  <si>
    <t>162 088</t>
  </si>
  <si>
    <t>170 203</t>
  </si>
  <si>
    <t>40 999</t>
  </si>
  <si>
    <t>39 875</t>
  </si>
  <si>
    <t>40 441</t>
  </si>
  <si>
    <t>34 737</t>
  </si>
  <si>
    <t>29 665</t>
  </si>
  <si>
    <t>2 690</t>
  </si>
  <si>
    <t>2 266</t>
  </si>
  <si>
    <t>2 417</t>
  </si>
  <si>
    <t>2 191</t>
  </si>
  <si>
    <t>2 193</t>
  </si>
  <si>
    <t>Managerial Positions – S54A and S56</t>
  </si>
  <si>
    <t>Vacant Managerial Positions – S54A and S56</t>
  </si>
  <si>
    <t>3 294</t>
  </si>
  <si>
    <t>3 444</t>
  </si>
  <si>
    <t>3 311</t>
  </si>
  <si>
    <t>3 088</t>
  </si>
  <si>
    <t>3 076</t>
  </si>
  <si>
    <t>1 285 227</t>
  </si>
  <si>
    <t>1 127 192</t>
  </si>
  <si>
    <t>1 004 505</t>
  </si>
  <si>
    <t>993 960</t>
  </si>
  <si>
    <t>1 183 533</t>
  </si>
  <si>
    <t>1 025 498</t>
  </si>
  <si>
    <t>963 822</t>
  </si>
  <si>
    <t>953 277</t>
  </si>
  <si>
    <t>1 061 185</t>
  </si>
  <si>
    <t>917 538</t>
  </si>
  <si>
    <t>855 862</t>
  </si>
  <si>
    <t>853 604</t>
  </si>
  <si>
    <t>122 348</t>
  </si>
  <si>
    <t>107 960</t>
  </si>
  <si>
    <t>99 673</t>
  </si>
  <si>
    <t>21 871</t>
  </si>
  <si>
    <t>22 001</t>
  </si>
  <si>
    <t>13 206</t>
  </si>
  <si>
    <t>14 110</t>
  </si>
  <si>
    <t>33 423</t>
  </si>
  <si>
    <t>837 345</t>
  </si>
  <si>
    <t>831 235</t>
  </si>
  <si>
    <t>828 768</t>
  </si>
  <si>
    <t>822 613</t>
  </si>
  <si>
    <t>819 643</t>
  </si>
  <si>
    <t>11 228</t>
  </si>
  <si>
    <t>14 412</t>
  </si>
  <si>
    <t>14 753</t>
  </si>
  <si>
    <t>11 520</t>
  </si>
  <si>
    <t>15 848</t>
  </si>
  <si>
    <t>1 127 840</t>
  </si>
  <si>
    <t>1 040 541</t>
  </si>
  <si>
    <t>1 035 375</t>
  </si>
  <si>
    <t>886 587</t>
  </si>
  <si>
    <t>860 754</t>
  </si>
  <si>
    <t>1 016 607</t>
  </si>
  <si>
    <t>913 929</t>
  </si>
  <si>
    <t>892 277</t>
  </si>
  <si>
    <t>764 367</t>
  </si>
  <si>
    <t>742 198</t>
  </si>
  <si>
    <t>61 924</t>
  </si>
  <si>
    <t>60 923</t>
  </si>
  <si>
    <t>60 986</t>
  </si>
  <si>
    <t>60 309</t>
  </si>
  <si>
    <t>59 840</t>
  </si>
  <si>
    <t>19 240</t>
  </si>
  <si>
    <t>10 855</t>
  </si>
  <si>
    <t>8 196</t>
  </si>
  <si>
    <t>23 224</t>
  </si>
  <si>
    <t>21 854</t>
  </si>
  <si>
    <t>12 592</t>
  </si>
  <si>
    <t>13 593</t>
  </si>
  <si>
    <t>39 842</t>
  </si>
  <si>
    <t>1 449 824</t>
  </si>
  <si>
    <t>1 449 624</t>
  </si>
  <si>
    <t>1 227 420</t>
  </si>
  <si>
    <t>1 182 997</t>
  </si>
  <si>
    <t>1 048 244</t>
  </si>
  <si>
    <t>35 804</t>
  </si>
  <si>
    <t>30 102</t>
  </si>
  <si>
    <t>18 283</t>
  </si>
  <si>
    <t>19 924</t>
  </si>
  <si>
    <t>115 225</t>
  </si>
  <si>
    <t>PDF file attached to email from Katherine</t>
  </si>
  <si>
    <t>2010 to 2024</t>
  </si>
  <si>
    <t>Average Annual % Increase over 14 years</t>
  </si>
  <si>
    <t>CoJ Audited Annual Financial Statements 2011-2024</t>
  </si>
  <si>
    <t>Extracts from CoJ Audited AFS</t>
  </si>
  <si>
    <t>Extracted from Audited CoJ AFS</t>
  </si>
  <si>
    <t>Name of Vote</t>
  </si>
  <si>
    <t>Amount</t>
  </si>
  <si>
    <t>Group Corporate and Shared Services</t>
  </si>
  <si>
    <t>Human settlement</t>
  </si>
  <si>
    <t>Social develoment</t>
  </si>
  <si>
    <t>Health department</t>
  </si>
  <si>
    <t>Group Finance</t>
  </si>
  <si>
    <t>Group Forensics and investigation services</t>
  </si>
  <si>
    <t>Mayor</t>
  </si>
  <si>
    <t>Metropolitan Bus Services</t>
  </si>
  <si>
    <t>Market</t>
  </si>
  <si>
    <t>JRA</t>
  </si>
  <si>
    <t>Joburg Water</t>
  </si>
  <si>
    <t>MTC</t>
  </si>
  <si>
    <t>Joshco</t>
  </si>
  <si>
    <t>Parks and Zoo</t>
  </si>
  <si>
    <t>Civic Theatre</t>
  </si>
  <si>
    <t>TOTAL</t>
  </si>
  <si>
    <t>The over expenditure incurred by the municipal</t>
  </si>
  <si>
    <t>GROUP</t>
  </si>
  <si>
    <t>departments during the year is attributable to the following categories</t>
  </si>
  <si>
    <t>Non-cash items</t>
  </si>
  <si>
    <t>Cash items</t>
  </si>
  <si>
    <t>Anlysed as follows: non-cash items</t>
  </si>
  <si>
    <t>Depreciation and impairment</t>
  </si>
  <si>
    <t>Provision of impairment</t>
  </si>
  <si>
    <t>Debt impairment</t>
  </si>
  <si>
    <t>Impairment loss reversal</t>
  </si>
  <si>
    <t>Loss on disposal of assets</t>
  </si>
  <si>
    <t>Losses</t>
  </si>
  <si>
    <t>Bad debt written off</t>
  </si>
  <si>
    <t>Depreciation and Impairment Losses</t>
  </si>
  <si>
    <t>Impairment loss</t>
  </si>
  <si>
    <t>Impairment of current receivables</t>
  </si>
  <si>
    <t>Analysed as follows: Cash items</t>
  </si>
  <si>
    <t>Employee related costs</t>
  </si>
  <si>
    <t>Finance Costs</t>
  </si>
  <si>
    <t>Inventory consumed</t>
  </si>
  <si>
    <t>Contracted services</t>
  </si>
  <si>
    <t>Internal transfers</t>
  </si>
  <si>
    <t>Bulk purchases</t>
  </si>
  <si>
    <t>Fleet</t>
  </si>
  <si>
    <t>Finance lease rentals</t>
  </si>
  <si>
    <t>Repairs and maintenance</t>
  </si>
  <si>
    <t>Other expenses</t>
  </si>
  <si>
    <t>Administration expenses</t>
  </si>
  <si>
    <t>General expenditure</t>
  </si>
  <si>
    <t>Other income</t>
  </si>
  <si>
    <t>Lease rental on operating lease</t>
  </si>
  <si>
    <t>Over expenditure on capex budget</t>
  </si>
  <si>
    <t>Total Unauthorised Expenditure</t>
  </si>
  <si>
    <t>Revenue is increasing at a higher trajectory than all costs, except Unauthorised, Irregular and Fruitless &amp; Wasteful Expenditure.</t>
  </si>
  <si>
    <t>Sources: municipalities.co.za website &amp; City of Joburg website</t>
  </si>
  <si>
    <t>https://joburg.org.za/documents_/Documents/City-of-Johannesburg-Integrated-Annual-Report_2023.24.pdf</t>
  </si>
  <si>
    <t>Contents</t>
  </si>
  <si>
    <t>Tables &amp; Charts 7 Year</t>
  </si>
  <si>
    <t>Unauthorised, Irregular, Fruitless &amp; Wasteful Expenditure</t>
  </si>
  <si>
    <t>Tables &amp; Charts 7yrs'!J2</t>
  </si>
  <si>
    <t>Tables &amp; Charts 7yrs'!J22</t>
  </si>
  <si>
    <t>Tables &amp; Charts 7yrs'!J38</t>
  </si>
  <si>
    <t>Tables &amp; Charts 7yrs'!J63</t>
  </si>
  <si>
    <t>Contents!E9</t>
  </si>
  <si>
    <t>Oversight Report Summary 2024</t>
  </si>
  <si>
    <t>Oversight Report Summary 2024'!A1</t>
  </si>
  <si>
    <t>AFS Summary &amp; Charts 15yrs</t>
  </si>
  <si>
    <t>Property Rates Income and Debt Impairment showed the biggest % increase since 2010 and Unauthorised, Irregular, Fruitless and Wasteful Expenditure has increased the most since 2017, especially recently.</t>
  </si>
  <si>
    <t>per Audited AFS</t>
  </si>
  <si>
    <t>Total Unauthorised, Irregular, Fruitless &amp; Wasteful Expenditure</t>
  </si>
  <si>
    <t>Less: Impairment</t>
  </si>
  <si>
    <t>Net Unauthorised Expenditure</t>
  </si>
  <si>
    <t>Impairment included in unauthorised expenditure</t>
  </si>
  <si>
    <t>Per Audited AFS in years covered by municipalities.co.za</t>
  </si>
  <si>
    <t>Per www.municipalities.co.za</t>
  </si>
  <si>
    <t>UNAUTHORISED, IRREGULAR, FRUITLESS &amp; WASTEFUL EXPENDITURE per Audited AFS</t>
  </si>
  <si>
    <t>Revenue, Operating Costs, Debt Impairment and UIFWe follow a similar increasing trend, while Capital Expenditure has reduced since 2016.</t>
  </si>
  <si>
    <t>Since 2020/21 Capital Expenditure and Debt Impairment have been roughly the same amount. Unauthorised, Irregular and Fruitless &amp; Wasteful Expenditure has been growing and in 2023/24 significantly exceeded Capital Expenditure.</t>
  </si>
  <si>
    <t xml:space="preserve">Debt Impairment and Unauthorised, Fruitless &amp; Wasteful Expenditure Combined as a Factor of Capital Expenditure </t>
  </si>
  <si>
    <t>Over time, Capital Expenditure has decreased, while Debt Impairment and Unauthorised, Irregular and Fruitless &amp; Wasteful Expenditure has increased.</t>
  </si>
  <si>
    <t xml:space="preserve">In 2009/10, Debt Impairment and Unauthorised, Irregular and Fruitless &amp; Wasteful Expenditure combined were 48% of Capital Expenditure. </t>
  </si>
  <si>
    <t xml:space="preserve">In 2015/16, this ratio had reduced to 34%, after which it increased significantly every year. </t>
  </si>
  <si>
    <t>In 2023/24 this ratio had increased to 262%. This is unsustainable.</t>
  </si>
  <si>
    <t>Capital Expenditure with 2009 Base &amp; Average Inflation</t>
  </si>
  <si>
    <t>Year</t>
  </si>
  <si>
    <t>South Africa</t>
  </si>
  <si>
    <t>Historical inflation rates in comparison</t>
  </si>
  <si>
    <t>Ø EU</t>
  </si>
  <si>
    <t>Ø USA</t>
  </si>
  <si>
    <t>Ø World</t>
  </si>
  <si>
    <t>Data basis: International Monetary Fund, World Bank and OECD Inflation CPI indicator (doi:10.1787/eee82e6e-en). We do not yet have any internationally comparable data for the period after 2024. In order to ensure international comparability, we deliberately do not use data from individual countries, but only the harmonized data from the sources mentioned. Inflation rates for the previous year are normally published 3-5 months after the end of the year and are sometimes corrected several times during the course of the year.</t>
  </si>
  <si>
    <t>Inflation Rate</t>
  </si>
  <si>
    <t>Expressed as a Factor of 2009</t>
  </si>
  <si>
    <t>Current Capital Expenditure in Real Terms using 2009/10 as the base</t>
  </si>
  <si>
    <t>AFS Summary &amp; Charts 15yrs'!C55</t>
  </si>
  <si>
    <t>Audited AFS 14yrs'!B5</t>
  </si>
  <si>
    <t>Audited AFS 14yrs</t>
  </si>
  <si>
    <t>Combined 7yrs</t>
  </si>
  <si>
    <t>Finance 7yrs</t>
  </si>
  <si>
    <t>Employment 5yrs</t>
  </si>
  <si>
    <t>Services 5yrs</t>
  </si>
  <si>
    <t>Capex Analysis 21-22</t>
  </si>
  <si>
    <t>CoJ Dept'l Finance Report 2023</t>
  </si>
  <si>
    <t>Unauthorised Expenditure by Type</t>
  </si>
  <si>
    <t>Unauthorised Expenditure by Department</t>
  </si>
  <si>
    <t>Combined 7yrs'!L5</t>
  </si>
  <si>
    <t>Finance 7yrs'!J5</t>
  </si>
  <si>
    <t>Employment 5yrs'!J5</t>
  </si>
  <si>
    <t>Services 5yrs'!J5</t>
  </si>
  <si>
    <t>https://lg.treasury.gov.za/supportingdocs/JHB</t>
  </si>
  <si>
    <t>Sources: municipalities.co.za website and others</t>
  </si>
  <si>
    <t>Capex Analysis 21-22'!H2</t>
  </si>
  <si>
    <t>CoJ Dept''l Finance Report 2023'!D3</t>
  </si>
  <si>
    <t>Unauthorised Expenditure by Department 2022/23 &amp; 2023/24</t>
  </si>
  <si>
    <t>Unauthorised Expenditure byType 2022/23 &amp; 2023/24</t>
  </si>
  <si>
    <t>Unauthorised Expenditure by Dep'!E3</t>
  </si>
  <si>
    <t>Unauthorised Expenditure by Typ'!E3</t>
  </si>
  <si>
    <t>Tab Name</t>
  </si>
  <si>
    <t>Description of Content</t>
  </si>
  <si>
    <t>Link</t>
  </si>
  <si>
    <t>Extract from MPAC report showing the MPAC's concern about the high degree of irregular expenditure and lack of consequence.</t>
  </si>
  <si>
    <t>Data basis: International Monetary Fund, World Bank and OECD Inflation CPI indicator</t>
  </si>
  <si>
    <t>Inflation Rate used to calculate capital expenditure in real terms</t>
  </si>
  <si>
    <t>www.worlddata.info/africa/south-africa/inflation-rates</t>
  </si>
  <si>
    <t>Information Source:</t>
  </si>
  <si>
    <t>Inflation Rate Extract 2010 to 2024</t>
  </si>
  <si>
    <t>C</t>
  </si>
  <si>
    <t>Extracts from Municipalities.co.za website</t>
  </si>
  <si>
    <t>Extracts from Audited AFS appearing on municipalities .co.za website</t>
  </si>
  <si>
    <t>AFS Summary &amp; Charts 15yrs (The main page)</t>
  </si>
  <si>
    <t>More graphs and tables</t>
  </si>
  <si>
    <t>30 May 2025</t>
  </si>
  <si>
    <t>Capex in 2024 expressed as % of 2010</t>
  </si>
  <si>
    <t>Detailed Capex List</t>
  </si>
  <si>
    <t>Capex Report</t>
  </si>
  <si>
    <t>Detailed List of Unauthorised Expenditure by Dept. 22-23 &amp; 23-24</t>
  </si>
  <si>
    <t>Detailed List of Unauthorised Expenditure by Type 22-23 &amp; 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</si>
</sst>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0.0%"/>
    <numFmt numFmtId="166" formatCode="_-* #,##0_-;\-* #,##0_-;_-* &quot;-&quot;??_-;_-@_-"/>
    <numFmt numFmtId="167" formatCode="#,##0_ ;[Red]\-#,##0\ "/>
    <numFmt numFmtId="168" formatCode="#,##0.0_ ;[Red]\-#,##0.0\ "/>
    <numFmt numFmtId="169" formatCode="0.0"/>
    <numFmt numFmtId="170" formatCode="#,##0.00_ ;[Red]\-#,##0.00\ "/>
  </numFmts>
  <fonts count="30" x14ac:knownFonts="1">
    <font>
      <sz val="11"/>
      <color theme="1"/>
      <name val="Calibri"/>
      <family val="2"/>
      <scheme val="minor"/>
    </font>
    <font>
      <sz val="11"/>
      <color theme="1"/>
      <name val="Calibri"/>
      <family val="2"/>
      <scheme val="minor"/>
    </font>
    <font>
      <b/>
      <sz val="11"/>
      <color theme="1"/>
      <name val="Calibri"/>
      <family val="2"/>
      <scheme val="minor"/>
    </font>
    <font>
      <sz val="12"/>
      <color rgb="FF333333"/>
      <name val="Source Sans Pro"/>
      <family val="2"/>
    </font>
    <font>
      <b/>
      <sz val="11"/>
      <color theme="1"/>
      <name val="Source Sans Pro"/>
      <family val="2"/>
    </font>
    <font>
      <sz val="11"/>
      <color theme="1"/>
      <name val="Source Sans Pro"/>
      <family val="2"/>
    </font>
    <font>
      <sz val="7"/>
      <color rgb="FF53758E"/>
      <name val="Source Sans Pro"/>
      <family val="2"/>
    </font>
    <font>
      <sz val="11"/>
      <color rgb="FFFF9000"/>
      <name val="Source Sans Pro"/>
      <family val="2"/>
    </font>
    <font>
      <u/>
      <sz val="11"/>
      <color theme="10"/>
      <name val="Calibri"/>
      <family val="2"/>
      <scheme val="minor"/>
    </font>
    <font>
      <sz val="7"/>
      <color rgb="FF9BA0A8"/>
      <name val="Source Sans Pro"/>
      <family val="2"/>
    </font>
    <font>
      <b/>
      <sz val="16"/>
      <color theme="1"/>
      <name val="Calibri"/>
      <family val="2"/>
      <scheme val="minor"/>
    </font>
    <font>
      <sz val="11"/>
      <color rgb="FF0000CC"/>
      <name val="Calibri"/>
      <family val="2"/>
      <scheme val="minor"/>
    </font>
    <font>
      <sz val="11"/>
      <color rgb="FFC00000"/>
      <name val="Calibri"/>
      <family val="2"/>
      <scheme val="minor"/>
    </font>
    <font>
      <b/>
      <sz val="12"/>
      <color rgb="FF333333"/>
      <name val="Source Sans Pro"/>
      <family val="2"/>
    </font>
    <font>
      <sz val="12"/>
      <color rgb="FF333333"/>
      <name val="Source Sans Pro"/>
      <family val="2"/>
    </font>
    <font>
      <b/>
      <sz val="14"/>
      <color theme="1"/>
      <name val="Calibri"/>
      <family val="2"/>
      <scheme val="minor"/>
    </font>
    <font>
      <sz val="9"/>
      <color indexed="81"/>
      <name val="Tahoma"/>
      <family val="2"/>
    </font>
    <font>
      <b/>
      <sz val="9"/>
      <color indexed="81"/>
      <name val="Tahoma"/>
      <family val="2"/>
    </font>
    <font>
      <sz val="10"/>
      <color rgb="FF333333"/>
      <name val="Source Sans Pro"/>
      <family val="2"/>
    </font>
    <font>
      <sz val="6"/>
      <color rgb="FF53758E"/>
      <name val="Source Sans Pro"/>
      <family val="2"/>
    </font>
    <font>
      <sz val="6"/>
      <color rgb="FF9BA0A8"/>
      <name val="Source Sans Pro"/>
      <family val="2"/>
    </font>
    <font>
      <b/>
      <sz val="9"/>
      <color theme="1"/>
      <name val="Arial"/>
      <family val="2"/>
    </font>
    <font>
      <sz val="9"/>
      <color theme="1"/>
      <name val="Arial"/>
      <family val="2"/>
    </font>
    <font>
      <sz val="9"/>
      <color theme="1"/>
      <name val="Times New Roman"/>
      <family val="1"/>
    </font>
    <font>
      <sz val="16"/>
      <color rgb="FF0D1656"/>
      <name val="Verdana"/>
      <family val="2"/>
    </font>
    <font>
      <sz val="6"/>
      <color rgb="FF000000"/>
      <name val="Verdana"/>
      <family val="2"/>
    </font>
    <font>
      <b/>
      <sz val="11"/>
      <color rgb="FF666666"/>
      <name val="Verdana"/>
      <family val="2"/>
    </font>
    <font>
      <sz val="11"/>
      <color theme="1"/>
      <name val="Verdana"/>
      <family val="2"/>
    </font>
    <font>
      <b/>
      <sz val="12"/>
      <color theme="1"/>
      <name val="Calibri"/>
      <family val="2"/>
      <scheme val="minor"/>
    </font>
    <font>
      <sz val="11"/>
      <color rgb="FF000000"/>
      <name val="Calibri"/>
      <family val="2"/>
      <scheme val="minor"/>
    </font>
  </fonts>
  <fills count="13">
    <fill>
      <patternFill patternType="none"/>
    </fill>
    <fill>
      <patternFill patternType="gray125"/>
    </fill>
    <fill>
      <patternFill patternType="solid">
        <fgColor rgb="FFF5F5F5"/>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rgb="FF66FFFF"/>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FFFFFF"/>
        <bgColor indexed="64"/>
      </patternFill>
    </fill>
    <fill>
      <patternFill patternType="solid">
        <fgColor rgb="FF92D050"/>
        <bgColor indexed="64"/>
      </patternFill>
    </fill>
    <fill>
      <patternFill patternType="solid">
        <fgColor rgb="FFFF00FF"/>
        <bgColor indexed="64"/>
      </patternFill>
    </fill>
  </fills>
  <borders count="23">
    <border>
      <left/>
      <right/>
      <top/>
      <bottom/>
      <diagonal/>
    </border>
    <border>
      <left style="medium">
        <color rgb="FFF4F4F4"/>
      </left>
      <right style="medium">
        <color rgb="FFF4F4F4"/>
      </right>
      <top/>
      <bottom style="medium">
        <color rgb="FFF4F4F4"/>
      </bottom>
      <diagonal/>
    </border>
    <border>
      <left style="medium">
        <color rgb="FFF4F4F4"/>
      </left>
      <right style="medium">
        <color rgb="FFF4F4F4"/>
      </right>
      <top style="medium">
        <color rgb="FFF4F4F4"/>
      </top>
      <bottom style="medium">
        <color rgb="FFF4F4F4"/>
      </bottom>
      <diagonal/>
    </border>
    <border>
      <left style="medium">
        <color rgb="FFF4F4F4"/>
      </left>
      <right/>
      <top style="medium">
        <color rgb="FFF4F4F4"/>
      </top>
      <bottom style="medium">
        <color rgb="FFF4F4F4"/>
      </bottom>
      <diagonal/>
    </border>
    <border>
      <left/>
      <right/>
      <top style="medium">
        <color rgb="FFF4F4F4"/>
      </top>
      <bottom style="medium">
        <color rgb="FFF4F4F4"/>
      </bottom>
      <diagonal/>
    </border>
    <border>
      <left/>
      <right style="medium">
        <color rgb="FFF4F4F4"/>
      </right>
      <top style="medium">
        <color rgb="FFF4F4F4"/>
      </top>
      <bottom style="medium">
        <color rgb="FFF4F4F4"/>
      </bottom>
      <diagonal/>
    </border>
    <border>
      <left style="medium">
        <color rgb="FFF4F4F4"/>
      </left>
      <right style="medium">
        <color rgb="FFF4F4F4"/>
      </right>
      <top style="medium">
        <color rgb="FFF4F4F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rgb="FF000000"/>
      </bottom>
      <diagonal/>
    </border>
    <border>
      <left/>
      <right/>
      <top/>
      <bottom style="medium">
        <color rgb="FF000000"/>
      </bottom>
      <diagonal/>
    </border>
    <border>
      <left style="medium">
        <color rgb="FFF4F4F4"/>
      </left>
      <right style="medium">
        <color rgb="FFF4F4F4"/>
      </right>
      <top style="thin">
        <color indexed="64"/>
      </top>
      <bottom style="double">
        <color indexed="64"/>
      </bottom>
      <diagonal/>
    </border>
    <border>
      <left style="medium">
        <color rgb="FFF4F4F4"/>
      </left>
      <right style="medium">
        <color rgb="FFF4F4F4"/>
      </right>
      <top/>
      <bottom/>
      <diagonal/>
    </border>
    <border>
      <left/>
      <right/>
      <top/>
      <bottom style="thin">
        <color indexed="64"/>
      </bottom>
      <diagonal/>
    </border>
    <border>
      <left/>
      <right/>
      <top/>
      <bottom style="medium">
        <color rgb="FFDDDDDD"/>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cellStyleXfs>
  <cellXfs count="231">
    <xf numFmtId="0" fontId="0" fillId="0" borderId="0" xfId="0"/>
    <xf numFmtId="0" fontId="3" fillId="0" borderId="0" xfId="0" applyFont="1" applyAlignment="1">
      <alignment vertical="center" wrapText="1"/>
    </xf>
    <xf numFmtId="0" fontId="8" fillId="0" borderId="2" xfId="3" applyBorder="1" applyAlignment="1">
      <alignment horizontal="left" vertical="top" wrapText="1"/>
    </xf>
    <xf numFmtId="0" fontId="7" fillId="0" borderId="2" xfId="0" applyFont="1" applyBorder="1" applyAlignment="1">
      <alignment horizontal="right" vertical="top" wrapText="1"/>
    </xf>
    <xf numFmtId="0" fontId="5" fillId="0" borderId="2" xfId="0" applyFont="1" applyBorder="1" applyAlignment="1">
      <alignment vertical="top" wrapText="1"/>
    </xf>
    <xf numFmtId="0" fontId="5" fillId="0" borderId="2" xfId="0" applyFont="1" applyBorder="1" applyAlignment="1">
      <alignment horizontal="right" vertical="top" wrapText="1"/>
    </xf>
    <xf numFmtId="0" fontId="4" fillId="0" borderId="2" xfId="0" applyFont="1" applyBorder="1" applyAlignment="1">
      <alignment vertical="top" wrapText="1"/>
    </xf>
    <xf numFmtId="0" fontId="4" fillId="0" borderId="2" xfId="0" applyFont="1" applyBorder="1" applyAlignment="1">
      <alignment horizontal="right" vertical="top" wrapText="1"/>
    </xf>
    <xf numFmtId="0" fontId="5" fillId="2" borderId="6" xfId="0" applyFont="1" applyFill="1" applyBorder="1" applyAlignment="1">
      <alignment horizontal="right" vertical="top" wrapText="1"/>
    </xf>
    <xf numFmtId="0" fontId="5" fillId="2" borderId="1" xfId="0" applyFont="1" applyFill="1" applyBorder="1" applyAlignment="1">
      <alignment horizontal="right" vertical="top" wrapText="1"/>
    </xf>
    <xf numFmtId="0" fontId="4" fillId="0" borderId="2" xfId="0" applyFont="1" applyBorder="1" applyAlignment="1">
      <alignment horizontal="left" wrapText="1"/>
    </xf>
    <xf numFmtId="0" fontId="8" fillId="0" borderId="0" xfId="3"/>
    <xf numFmtId="0" fontId="2" fillId="0" borderId="0" xfId="0" applyFont="1"/>
    <xf numFmtId="0" fontId="4" fillId="0" borderId="3"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165" fontId="5" fillId="0" borderId="2" xfId="2" applyNumberFormat="1" applyFont="1" applyBorder="1" applyAlignment="1">
      <alignment horizontal="right" vertical="top" wrapText="1"/>
    </xf>
    <xf numFmtId="10" fontId="5" fillId="0" borderId="2" xfId="2" applyNumberFormat="1" applyFont="1" applyBorder="1" applyAlignment="1">
      <alignment horizontal="right" vertical="top" wrapText="1"/>
    </xf>
    <xf numFmtId="0" fontId="4" fillId="0" borderId="3" xfId="0" applyFont="1" applyBorder="1" applyAlignment="1">
      <alignment vertical="top"/>
    </xf>
    <xf numFmtId="0" fontId="4" fillId="0" borderId="4" xfId="0" applyFont="1" applyBorder="1" applyAlignment="1">
      <alignment vertical="top"/>
    </xf>
    <xf numFmtId="0" fontId="4" fillId="0" borderId="5" xfId="0" applyFont="1" applyBorder="1" applyAlignment="1">
      <alignment vertical="top"/>
    </xf>
    <xf numFmtId="166" fontId="5" fillId="0" borderId="2" xfId="1" applyNumberFormat="1" applyFont="1" applyBorder="1" applyAlignment="1">
      <alignment horizontal="right" vertical="top" wrapText="1"/>
    </xf>
    <xf numFmtId="166" fontId="4" fillId="0" borderId="2" xfId="1" applyNumberFormat="1" applyFont="1" applyBorder="1" applyAlignment="1">
      <alignment horizontal="right" vertical="top" wrapText="1"/>
    </xf>
    <xf numFmtId="166" fontId="4" fillId="0" borderId="4" xfId="1" applyNumberFormat="1" applyFont="1" applyBorder="1" applyAlignment="1">
      <alignment vertical="top" wrapText="1"/>
    </xf>
    <xf numFmtId="166" fontId="4" fillId="0" borderId="5" xfId="1" applyNumberFormat="1" applyFont="1" applyBorder="1" applyAlignment="1">
      <alignment vertical="top" wrapText="1"/>
    </xf>
    <xf numFmtId="10" fontId="4" fillId="0" borderId="2" xfId="2" applyNumberFormat="1" applyFont="1" applyBorder="1" applyAlignment="1">
      <alignment horizontal="right" vertical="top" wrapText="1"/>
    </xf>
    <xf numFmtId="0" fontId="5" fillId="0" borderId="3" xfId="0" applyFont="1" applyBorder="1" applyAlignment="1">
      <alignment vertical="top" wrapText="1"/>
    </xf>
    <xf numFmtId="0" fontId="5" fillId="2" borderId="2" xfId="0" applyFont="1" applyFill="1" applyBorder="1" applyAlignment="1">
      <alignment vertical="top" wrapText="1"/>
    </xf>
    <xf numFmtId="0" fontId="9" fillId="0" borderId="0" xfId="0" applyFont="1"/>
    <xf numFmtId="0" fontId="3" fillId="0" borderId="0" xfId="0" applyFont="1" applyAlignment="1">
      <alignment vertical="center"/>
    </xf>
    <xf numFmtId="0" fontId="4" fillId="0" borderId="3" xfId="0" applyFont="1" applyBorder="1" applyAlignment="1">
      <alignment wrapText="1"/>
    </xf>
    <xf numFmtId="0" fontId="4" fillId="0" borderId="4" xfId="0" applyFont="1" applyBorder="1" applyAlignment="1">
      <alignment wrapText="1"/>
    </xf>
    <xf numFmtId="0" fontId="4" fillId="0" borderId="5" xfId="0" applyFont="1" applyBorder="1" applyAlignment="1">
      <alignment wrapText="1"/>
    </xf>
    <xf numFmtId="166" fontId="5" fillId="0" borderId="4" xfId="1" applyNumberFormat="1" applyFont="1" applyBorder="1" applyAlignment="1">
      <alignment vertical="top" wrapText="1"/>
    </xf>
    <xf numFmtId="166" fontId="5" fillId="0" borderId="5" xfId="1" applyNumberFormat="1" applyFont="1" applyBorder="1" applyAlignment="1">
      <alignment vertical="top" wrapText="1"/>
    </xf>
    <xf numFmtId="166" fontId="5" fillId="2" borderId="2" xfId="1" applyNumberFormat="1" applyFont="1" applyFill="1" applyBorder="1" applyAlignment="1">
      <alignment horizontal="right" vertical="top" wrapText="1"/>
    </xf>
    <xf numFmtId="0" fontId="3" fillId="0" borderId="0" xfId="0" applyFont="1" applyAlignment="1">
      <alignment horizontal="left" vertical="center"/>
    </xf>
    <xf numFmtId="0" fontId="5" fillId="0" borderId="3" xfId="0" applyFont="1" applyBorder="1" applyAlignment="1">
      <alignment vertical="top"/>
    </xf>
    <xf numFmtId="166" fontId="4" fillId="0" borderId="4" xfId="1" applyNumberFormat="1" applyFont="1" applyBorder="1" applyAlignment="1">
      <alignment vertical="top"/>
    </xf>
    <xf numFmtId="166" fontId="4" fillId="0" borderId="5" xfId="1" applyNumberFormat="1" applyFont="1" applyBorder="1" applyAlignment="1">
      <alignment vertical="top"/>
    </xf>
    <xf numFmtId="166" fontId="5" fillId="0" borderId="4" xfId="1" applyNumberFormat="1" applyFont="1" applyBorder="1" applyAlignment="1">
      <alignment vertical="top"/>
    </xf>
    <xf numFmtId="166" fontId="5" fillId="0" borderId="5" xfId="1" applyNumberFormat="1" applyFont="1" applyBorder="1" applyAlignment="1">
      <alignment vertical="top"/>
    </xf>
    <xf numFmtId="0" fontId="0" fillId="0" borderId="0" xfId="0" applyAlignment="1">
      <alignment horizontal="right"/>
    </xf>
    <xf numFmtId="166" fontId="0" fillId="0" borderId="0" xfId="1" applyNumberFormat="1" applyFont="1"/>
    <xf numFmtId="166" fontId="0" fillId="0" borderId="0" xfId="0" applyNumberFormat="1"/>
    <xf numFmtId="166" fontId="11" fillId="0" borderId="0" xfId="1" applyNumberFormat="1" applyFont="1"/>
    <xf numFmtId="166" fontId="0" fillId="0" borderId="8" xfId="1" applyNumberFormat="1" applyFont="1" applyBorder="1"/>
    <xf numFmtId="0" fontId="2" fillId="0" borderId="0" xfId="0" applyFont="1" applyAlignment="1">
      <alignment horizontal="center"/>
    </xf>
    <xf numFmtId="0" fontId="12" fillId="0" borderId="0" xfId="0" applyFont="1"/>
    <xf numFmtId="0" fontId="14" fillId="0" borderId="0" xfId="0" applyFont="1" applyAlignment="1">
      <alignment vertical="center" wrapText="1"/>
    </xf>
    <xf numFmtId="0" fontId="2" fillId="0" borderId="0" xfId="0" applyFont="1" applyAlignment="1">
      <alignment horizontal="right"/>
    </xf>
    <xf numFmtId="0" fontId="11" fillId="0" borderId="0" xfId="0" applyFont="1"/>
    <xf numFmtId="0" fontId="2" fillId="7" borderId="7" xfId="0" applyFont="1" applyFill="1" applyBorder="1" applyAlignment="1">
      <alignment horizontal="right"/>
    </xf>
    <xf numFmtId="0" fontId="2" fillId="0" borderId="7" xfId="0" applyFont="1" applyBorder="1" applyAlignment="1">
      <alignment horizontal="right"/>
    </xf>
    <xf numFmtId="0" fontId="4" fillId="0" borderId="7" xfId="0" applyFont="1" applyBorder="1" applyAlignment="1">
      <alignment horizontal="right" vertical="top" wrapText="1"/>
    </xf>
    <xf numFmtId="4" fontId="0" fillId="0" borderId="0" xfId="0" applyNumberFormat="1"/>
    <xf numFmtId="167" fontId="0" fillId="0" borderId="0" xfId="0" applyNumberFormat="1"/>
    <xf numFmtId="164" fontId="0" fillId="0" borderId="0" xfId="1" applyFont="1"/>
    <xf numFmtId="9" fontId="0" fillId="0" borderId="0" xfId="2" applyFont="1"/>
    <xf numFmtId="166" fontId="0" fillId="0" borderId="0" xfId="1" applyNumberFormat="1" applyFont="1" applyAlignment="1">
      <alignment horizontal="right"/>
    </xf>
    <xf numFmtId="0" fontId="0" fillId="0" borderId="0" xfId="0" applyAlignment="1">
      <alignment horizontal="center"/>
    </xf>
    <xf numFmtId="167" fontId="0" fillId="0" borderId="0" xfId="1" applyNumberFormat="1" applyFont="1"/>
    <xf numFmtId="0" fontId="2" fillId="0" borderId="0" xfId="1" applyNumberFormat="1" applyFont="1" applyAlignment="1">
      <alignment horizontal="right"/>
    </xf>
    <xf numFmtId="0" fontId="2"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167" fontId="0" fillId="0" borderId="0" xfId="1" applyNumberFormat="1" applyFont="1" applyAlignment="1">
      <alignment vertical="top"/>
    </xf>
    <xf numFmtId="0" fontId="0" fillId="7" borderId="0" xfId="0" applyFill="1" applyAlignment="1">
      <alignment vertical="top"/>
    </xf>
    <xf numFmtId="167" fontId="0" fillId="7" borderId="0" xfId="1" applyNumberFormat="1" applyFont="1" applyFill="1" applyBorder="1" applyAlignment="1">
      <alignment vertical="top"/>
    </xf>
    <xf numFmtId="0" fontId="0" fillId="7" borderId="0" xfId="0" applyFill="1" applyAlignment="1">
      <alignment horizontal="left" vertical="top"/>
    </xf>
    <xf numFmtId="167" fontId="0" fillId="7" borderId="0" xfId="1" applyNumberFormat="1" applyFont="1" applyFill="1" applyAlignment="1">
      <alignment vertical="top"/>
    </xf>
    <xf numFmtId="168" fontId="0" fillId="0" borderId="0" xfId="1" applyNumberFormat="1" applyFont="1" applyAlignment="1">
      <alignment vertical="top"/>
    </xf>
    <xf numFmtId="167" fontId="0" fillId="0" borderId="8" xfId="1" applyNumberFormat="1" applyFont="1" applyBorder="1" applyAlignment="1">
      <alignment vertical="top"/>
    </xf>
    <xf numFmtId="167" fontId="0" fillId="0" borderId="9" xfId="1" applyNumberFormat="1" applyFont="1" applyBorder="1"/>
    <xf numFmtId="0" fontId="2" fillId="0" borderId="11" xfId="0" applyFont="1" applyBorder="1" applyAlignment="1">
      <alignment horizontal="right"/>
    </xf>
    <xf numFmtId="0" fontId="2" fillId="0" borderId="10" xfId="0" applyFont="1" applyBorder="1"/>
    <xf numFmtId="0" fontId="0" fillId="0" borderId="11" xfId="0" applyBorder="1"/>
    <xf numFmtId="0" fontId="2" fillId="0" borderId="11" xfId="0" applyFont="1" applyBorder="1" applyAlignment="1">
      <alignment vertical="top" wrapText="1"/>
    </xf>
    <xf numFmtId="0" fontId="15" fillId="0" borderId="0" xfId="0" applyFont="1"/>
    <xf numFmtId="0" fontId="2" fillId="0" borderId="10" xfId="0" applyFont="1" applyBorder="1" applyAlignment="1">
      <alignment horizontal="center"/>
    </xf>
    <xf numFmtId="0" fontId="0" fillId="0" borderId="11" xfId="0" applyBorder="1" applyAlignment="1">
      <alignment horizontal="center"/>
    </xf>
    <xf numFmtId="0" fontId="0" fillId="0" borderId="0" xfId="0" applyAlignment="1">
      <alignment horizontal="center" vertical="top"/>
    </xf>
    <xf numFmtId="2" fontId="0" fillId="0" borderId="0" xfId="0" applyNumberFormat="1" applyAlignment="1">
      <alignment horizontal="center" vertical="top"/>
    </xf>
    <xf numFmtId="0" fontId="15" fillId="0" borderId="0" xfId="0" quotePrefix="1" applyFont="1"/>
    <xf numFmtId="0" fontId="0" fillId="3" borderId="0" xfId="0" applyFill="1"/>
    <xf numFmtId="0" fontId="2" fillId="3" borderId="7" xfId="0" applyFont="1" applyFill="1" applyBorder="1" applyAlignment="1">
      <alignment horizontal="right" vertical="center" wrapText="1"/>
    </xf>
    <xf numFmtId="165" fontId="0" fillId="3" borderId="0" xfId="2" applyNumberFormat="1" applyFont="1" applyFill="1"/>
    <xf numFmtId="15" fontId="15" fillId="0" borderId="0" xfId="0" quotePrefix="1" applyNumberFormat="1" applyFont="1"/>
    <xf numFmtId="15" fontId="2" fillId="0" borderId="0" xfId="0" applyNumberFormat="1" applyFont="1"/>
    <xf numFmtId="0" fontId="4" fillId="0" borderId="2" xfId="0" applyFont="1" applyBorder="1" applyAlignment="1">
      <alignment horizontal="left" vertical="top" wrapText="1"/>
    </xf>
    <xf numFmtId="0" fontId="18" fillId="0" borderId="0" xfId="0" applyFont="1" applyAlignment="1">
      <alignment vertical="center"/>
    </xf>
    <xf numFmtId="0" fontId="4" fillId="0" borderId="2" xfId="0" applyFont="1" applyBorder="1" applyAlignment="1">
      <alignment horizontal="left"/>
    </xf>
    <xf numFmtId="0" fontId="4" fillId="0" borderId="2" xfId="0" applyFont="1" applyBorder="1" applyAlignment="1">
      <alignment horizontal="right" vertical="top"/>
    </xf>
    <xf numFmtId="0" fontId="8" fillId="0" borderId="2" xfId="3" applyBorder="1" applyAlignment="1">
      <alignment horizontal="left" vertical="top"/>
    </xf>
    <xf numFmtId="0" fontId="5" fillId="0" borderId="2" xfId="0" applyFont="1" applyBorder="1" applyAlignment="1">
      <alignment horizontal="right" vertical="top"/>
    </xf>
    <xf numFmtId="0" fontId="7" fillId="0" borderId="2" xfId="0" applyFont="1" applyBorder="1" applyAlignment="1">
      <alignment horizontal="righ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5" fillId="0" borderId="2" xfId="0" applyFont="1" applyBorder="1" applyAlignment="1">
      <alignment vertical="top"/>
    </xf>
    <xf numFmtId="0" fontId="4" fillId="0" borderId="2" xfId="0" applyFont="1" applyBorder="1" applyAlignment="1">
      <alignment vertical="top"/>
    </xf>
    <xf numFmtId="0" fontId="4" fillId="0" borderId="6" xfId="0" applyFont="1" applyBorder="1" applyAlignment="1">
      <alignment horizontal="left" vertical="top"/>
    </xf>
    <xf numFmtId="0" fontId="5" fillId="0" borderId="6" xfId="0" applyFont="1" applyBorder="1" applyAlignment="1">
      <alignment horizontal="right" vertical="top"/>
    </xf>
    <xf numFmtId="0" fontId="4" fillId="0" borderId="1" xfId="0" applyFont="1" applyBorder="1" applyAlignment="1">
      <alignment horizontal="left" vertical="top"/>
    </xf>
    <xf numFmtId="0" fontId="5" fillId="0" borderId="1" xfId="0" applyFont="1" applyBorder="1" applyAlignment="1">
      <alignment horizontal="right" vertical="top"/>
    </xf>
    <xf numFmtId="0" fontId="20" fillId="0" borderId="0" xfId="0" applyFont="1"/>
    <xf numFmtId="0" fontId="5" fillId="0" borderId="4" xfId="0" applyFont="1" applyBorder="1" applyAlignment="1">
      <alignment vertical="top"/>
    </xf>
    <xf numFmtId="0" fontId="5" fillId="0" borderId="5" xfId="0" applyFont="1" applyBorder="1" applyAlignment="1">
      <alignment vertical="top"/>
    </xf>
    <xf numFmtId="10" fontId="5" fillId="0" borderId="2" xfId="0" applyNumberFormat="1" applyFont="1" applyBorder="1" applyAlignment="1">
      <alignment horizontal="right" vertical="top"/>
    </xf>
    <xf numFmtId="0" fontId="4" fillId="0" borderId="6" xfId="0" applyFont="1" applyBorder="1" applyAlignment="1">
      <alignment vertical="top"/>
    </xf>
    <xf numFmtId="0" fontId="4" fillId="0" borderId="1" xfId="0" applyFont="1" applyBorder="1" applyAlignment="1">
      <alignment vertical="top"/>
    </xf>
    <xf numFmtId="0" fontId="4" fillId="2" borderId="6" xfId="0" applyFont="1" applyFill="1" applyBorder="1" applyAlignment="1">
      <alignment vertical="top" wrapText="1"/>
    </xf>
    <xf numFmtId="0" fontId="4" fillId="2" borderId="1" xfId="0" applyFont="1" applyFill="1" applyBorder="1" applyAlignment="1">
      <alignment vertical="top" wrapText="1"/>
    </xf>
    <xf numFmtId="0" fontId="15" fillId="0" borderId="0" xfId="0" applyFont="1" applyAlignment="1">
      <alignment vertical="top"/>
    </xf>
    <xf numFmtId="0" fontId="8" fillId="0" borderId="0" xfId="3" applyAlignment="1">
      <alignment vertical="top"/>
    </xf>
    <xf numFmtId="0" fontId="13" fillId="0" borderId="0" xfId="0" applyFont="1" applyAlignment="1">
      <alignment vertical="top" wrapText="1"/>
    </xf>
    <xf numFmtId="0" fontId="18" fillId="0" borderId="0" xfId="0" applyFont="1" applyAlignment="1">
      <alignment vertical="top"/>
    </xf>
    <xf numFmtId="0" fontId="2" fillId="0" borderId="0" xfId="0" applyFont="1" applyAlignment="1">
      <alignment horizontal="right" vertical="top"/>
    </xf>
    <xf numFmtId="0" fontId="4" fillId="0" borderId="2" xfId="0" applyFont="1" applyBorder="1" applyAlignment="1">
      <alignment horizontal="left" vertical="top"/>
    </xf>
    <xf numFmtId="0" fontId="2" fillId="0" borderId="0" xfId="0" applyFont="1" applyAlignment="1">
      <alignment vertical="top"/>
    </xf>
    <xf numFmtId="0" fontId="13" fillId="0" borderId="0" xfId="0" applyFont="1" applyAlignment="1">
      <alignment vertical="top"/>
    </xf>
    <xf numFmtId="0" fontId="3" fillId="0" borderId="0" xfId="0" applyFont="1" applyAlignment="1">
      <alignment vertical="top"/>
    </xf>
    <xf numFmtId="0" fontId="20" fillId="0" borderId="0" xfId="0" applyFont="1" applyAlignment="1">
      <alignment vertical="top"/>
    </xf>
    <xf numFmtId="0" fontId="9" fillId="0" borderId="0" xfId="0" applyFont="1" applyAlignment="1">
      <alignment vertical="top"/>
    </xf>
    <xf numFmtId="0" fontId="3" fillId="0" borderId="0" xfId="0" applyFont="1" applyAlignment="1">
      <alignment horizontal="left" vertical="top"/>
    </xf>
    <xf numFmtId="0" fontId="4" fillId="0" borderId="1" xfId="0" applyFont="1" applyBorder="1" applyAlignment="1">
      <alignment horizontal="right" vertical="top"/>
    </xf>
    <xf numFmtId="166" fontId="5" fillId="8" borderId="2" xfId="1" applyNumberFormat="1" applyFont="1" applyFill="1" applyBorder="1" applyAlignment="1">
      <alignment horizontal="right" vertical="top" wrapText="1"/>
    </xf>
    <xf numFmtId="0" fontId="0" fillId="8" borderId="12" xfId="0" applyFill="1" applyBorder="1" applyAlignment="1">
      <alignment horizontal="centerContinuous" vertical="center"/>
    </xf>
    <xf numFmtId="0" fontId="0" fillId="8" borderId="13" xfId="0" applyFill="1" applyBorder="1" applyAlignment="1">
      <alignment horizontal="centerContinuous" vertical="center"/>
    </xf>
    <xf numFmtId="166" fontId="0" fillId="8" borderId="0" xfId="0" applyNumberFormat="1" applyFill="1"/>
    <xf numFmtId="0" fontId="5" fillId="0" borderId="6" xfId="0" applyFont="1" applyBorder="1" applyAlignment="1">
      <alignment horizontal="right" vertical="top" wrapText="1"/>
    </xf>
    <xf numFmtId="0" fontId="4" fillId="0" borderId="3" xfId="0" applyFont="1" applyBorder="1"/>
    <xf numFmtId="0" fontId="4" fillId="0" borderId="4" xfId="0" applyFont="1" applyBorder="1"/>
    <xf numFmtId="0" fontId="4" fillId="0" borderId="5" xfId="0" applyFont="1" applyBorder="1"/>
    <xf numFmtId="0" fontId="4" fillId="0" borderId="0" xfId="0" applyFont="1" applyAlignment="1">
      <alignment horizontal="right" vertical="top"/>
    </xf>
    <xf numFmtId="0" fontId="4" fillId="0" borderId="0" xfId="0" applyFont="1"/>
    <xf numFmtId="0" fontId="5" fillId="0" borderId="0" xfId="0" applyFont="1" applyAlignment="1">
      <alignment horizontal="right" vertical="top"/>
    </xf>
    <xf numFmtId="0" fontId="5" fillId="0" borderId="0" xfId="0" applyFont="1" applyAlignment="1">
      <alignment vertical="top"/>
    </xf>
    <xf numFmtId="10" fontId="5" fillId="0" borderId="0" xfId="0" applyNumberFormat="1" applyFont="1" applyAlignment="1">
      <alignment horizontal="right" vertical="top"/>
    </xf>
    <xf numFmtId="0" fontId="4" fillId="0" borderId="0" xfId="0" applyFont="1" applyAlignment="1">
      <alignment vertical="top" wrapText="1"/>
    </xf>
    <xf numFmtId="167" fontId="2" fillId="0" borderId="0" xfId="0" applyNumberFormat="1" applyFont="1" applyAlignment="1">
      <alignment horizontal="right"/>
    </xf>
    <xf numFmtId="167" fontId="0" fillId="0" borderId="9" xfId="0" applyNumberFormat="1" applyBorder="1"/>
    <xf numFmtId="3" fontId="0" fillId="0" borderId="0" xfId="0" applyNumberFormat="1"/>
    <xf numFmtId="0" fontId="21" fillId="0" borderId="0" xfId="0" applyFont="1" applyAlignment="1">
      <alignment horizontal="left" vertical="center" wrapText="1" indent="2"/>
    </xf>
    <xf numFmtId="0" fontId="22" fillId="0" borderId="0" xfId="0" applyFont="1" applyAlignment="1">
      <alignment horizontal="right" vertical="center" wrapText="1"/>
    </xf>
    <xf numFmtId="0" fontId="22" fillId="0" borderId="0" xfId="0" applyFont="1" applyAlignment="1">
      <alignment horizontal="left" vertical="center" wrapText="1" indent="2"/>
    </xf>
    <xf numFmtId="3" fontId="22" fillId="0" borderId="0" xfId="0" applyNumberFormat="1" applyFont="1" applyAlignment="1">
      <alignment vertical="center" wrapText="1"/>
    </xf>
    <xf numFmtId="3" fontId="22" fillId="0" borderId="0" xfId="0" applyNumberFormat="1" applyFont="1" applyAlignment="1">
      <alignment horizontal="right" vertical="center" wrapText="1"/>
    </xf>
    <xf numFmtId="0" fontId="22" fillId="0" borderId="15" xfId="0" applyFont="1" applyBorder="1" applyAlignment="1">
      <alignment horizontal="left" vertical="center" wrapText="1" indent="2"/>
    </xf>
    <xf numFmtId="3" fontId="22" fillId="0" borderId="15" xfId="0" applyNumberFormat="1" applyFont="1" applyBorder="1" applyAlignment="1">
      <alignment vertical="center" wrapText="1"/>
    </xf>
    <xf numFmtId="3" fontId="22" fillId="0" borderId="15" xfId="0" applyNumberFormat="1" applyFont="1" applyBorder="1" applyAlignment="1">
      <alignment horizontal="right" vertical="center" wrapText="1"/>
    </xf>
    <xf numFmtId="0" fontId="22" fillId="0" borderId="0" xfId="0" applyFont="1" applyAlignment="1">
      <alignment vertical="center" wrapText="1"/>
    </xf>
    <xf numFmtId="0" fontId="22" fillId="0" borderId="16" xfId="0" applyFont="1" applyBorder="1" applyAlignment="1">
      <alignment horizontal="left" vertical="center" wrapText="1" indent="2"/>
    </xf>
    <xf numFmtId="3" fontId="22" fillId="0" borderId="16" xfId="0" applyNumberFormat="1" applyFont="1" applyBorder="1" applyAlignment="1">
      <alignment horizontal="right" vertical="center" wrapText="1"/>
    </xf>
    <xf numFmtId="0" fontId="23" fillId="0" borderId="15" xfId="0" applyFont="1" applyBorder="1" applyAlignment="1">
      <alignment vertical="center" wrapText="1"/>
    </xf>
    <xf numFmtId="3" fontId="21" fillId="0" borderId="15" xfId="0" applyNumberFormat="1" applyFont="1" applyBorder="1" applyAlignment="1">
      <alignment vertical="center" wrapText="1"/>
    </xf>
    <xf numFmtId="3" fontId="21" fillId="0" borderId="15" xfId="0" applyNumberFormat="1" applyFont="1" applyBorder="1" applyAlignment="1">
      <alignment horizontal="right" vertical="center" wrapText="1"/>
    </xf>
    <xf numFmtId="0" fontId="22" fillId="0" borderId="16" xfId="0" applyFont="1" applyBorder="1" applyAlignment="1">
      <alignment horizontal="right" vertical="center" wrapText="1"/>
    </xf>
    <xf numFmtId="3" fontId="0" fillId="0" borderId="9" xfId="0" applyNumberFormat="1" applyBorder="1"/>
    <xf numFmtId="0" fontId="0" fillId="9" borderId="0" xfId="0" applyFill="1"/>
    <xf numFmtId="166" fontId="8" fillId="0" borderId="0" xfId="3" applyNumberFormat="1"/>
    <xf numFmtId="169" fontId="0" fillId="0" borderId="0" xfId="0" applyNumberFormat="1"/>
    <xf numFmtId="0" fontId="4" fillId="0" borderId="0" xfId="0" applyFont="1" applyAlignment="1">
      <alignment horizontal="left" vertical="top" wrapText="1"/>
    </xf>
    <xf numFmtId="0" fontId="8" fillId="0" borderId="0" xfId="3" applyBorder="1" applyAlignment="1">
      <alignment horizontal="left" vertical="top" wrapText="1"/>
    </xf>
    <xf numFmtId="0" fontId="5" fillId="0" borderId="0" xfId="0" applyFont="1" applyAlignment="1">
      <alignment vertical="top" wrapText="1"/>
    </xf>
    <xf numFmtId="0" fontId="4" fillId="0" borderId="0" xfId="0" applyFont="1" applyAlignment="1">
      <alignment vertical="top"/>
    </xf>
    <xf numFmtId="0" fontId="4" fillId="2" borderId="0" xfId="0" applyFont="1" applyFill="1" applyAlignment="1">
      <alignment vertical="top" wrapText="1"/>
    </xf>
    <xf numFmtId="0" fontId="5" fillId="0" borderId="4" xfId="0" applyFont="1" applyBorder="1" applyAlignment="1">
      <alignment vertical="top" wrapText="1"/>
    </xf>
    <xf numFmtId="0" fontId="5" fillId="0" borderId="6" xfId="0" applyFont="1" applyBorder="1" applyAlignment="1">
      <alignment vertical="top" wrapText="1"/>
    </xf>
    <xf numFmtId="166" fontId="5" fillId="0" borderId="6" xfId="1" applyNumberFormat="1" applyFont="1" applyBorder="1" applyAlignment="1">
      <alignment horizontal="right" vertical="top" wrapText="1"/>
    </xf>
    <xf numFmtId="0" fontId="5" fillId="0" borderId="6" xfId="0" applyFont="1" applyBorder="1" applyAlignment="1">
      <alignment vertical="top"/>
    </xf>
    <xf numFmtId="0" fontId="5" fillId="2" borderId="18" xfId="0" applyFont="1" applyFill="1" applyBorder="1" applyAlignment="1">
      <alignment horizontal="right" vertical="top" wrapText="1"/>
    </xf>
    <xf numFmtId="166" fontId="5" fillId="0" borderId="17" xfId="1" applyNumberFormat="1" applyFont="1" applyBorder="1" applyAlignment="1">
      <alignment horizontal="right" vertical="top" wrapText="1"/>
    </xf>
    <xf numFmtId="0" fontId="13" fillId="8" borderId="12" xfId="0" applyFont="1" applyFill="1" applyBorder="1" applyAlignment="1">
      <alignment horizontal="centerContinuous" vertical="center"/>
    </xf>
    <xf numFmtId="0" fontId="13" fillId="8" borderId="14" xfId="0" applyFont="1" applyFill="1" applyBorder="1" applyAlignment="1">
      <alignment horizontal="centerContinuous" vertical="center"/>
    </xf>
    <xf numFmtId="0" fontId="13" fillId="8" borderId="14" xfId="0" applyFont="1" applyFill="1" applyBorder="1" applyAlignment="1">
      <alignment horizontal="centerContinuous" vertical="center" wrapText="1"/>
    </xf>
    <xf numFmtId="0" fontId="0" fillId="8" borderId="14" xfId="0" applyFill="1" applyBorder="1" applyAlignment="1">
      <alignment horizontal="centerContinuous" vertical="center"/>
    </xf>
    <xf numFmtId="3" fontId="0" fillId="0" borderId="8" xfId="0" applyNumberFormat="1" applyBorder="1"/>
    <xf numFmtId="167" fontId="0" fillId="0" borderId="8" xfId="0" applyNumberFormat="1" applyBorder="1"/>
    <xf numFmtId="167" fontId="0" fillId="0" borderId="19" xfId="0" applyNumberFormat="1" applyBorder="1"/>
    <xf numFmtId="0" fontId="4" fillId="0" borderId="1" xfId="0" applyFont="1" applyBorder="1" applyAlignment="1">
      <alignment horizontal="right" vertical="top" wrapText="1"/>
    </xf>
    <xf numFmtId="0" fontId="8" fillId="0" borderId="12" xfId="3" applyBorder="1" applyAlignment="1">
      <alignment vertical="top"/>
    </xf>
    <xf numFmtId="0" fontId="0" fillId="0" borderId="14" xfId="0" applyBorder="1" applyAlignment="1">
      <alignment vertical="top"/>
    </xf>
    <xf numFmtId="0" fontId="0" fillId="0" borderId="13" xfId="0" applyBorder="1" applyAlignment="1">
      <alignment vertical="top"/>
    </xf>
    <xf numFmtId="166" fontId="5" fillId="0" borderId="1" xfId="1" applyNumberFormat="1" applyFont="1" applyBorder="1" applyAlignment="1">
      <alignment horizontal="right" vertical="top" wrapText="1"/>
    </xf>
    <xf numFmtId="166" fontId="0" fillId="0" borderId="0" xfId="0" applyNumberFormat="1" applyAlignment="1">
      <alignment vertical="top"/>
    </xf>
    <xf numFmtId="0" fontId="0" fillId="3" borderId="0" xfId="0" applyFill="1" applyAlignment="1">
      <alignment vertical="top"/>
    </xf>
    <xf numFmtId="166" fontId="0" fillId="0" borderId="0" xfId="1" applyNumberFormat="1" applyFont="1" applyFill="1"/>
    <xf numFmtId="0" fontId="0" fillId="0" borderId="0" xfId="0" applyAlignment="1">
      <alignment wrapText="1"/>
    </xf>
    <xf numFmtId="165" fontId="0" fillId="0" borderId="0" xfId="2" applyNumberFormat="1" applyFont="1" applyFill="1"/>
    <xf numFmtId="170" fontId="0" fillId="0" borderId="0" xfId="0" applyNumberFormat="1"/>
    <xf numFmtId="10" fontId="0" fillId="0" borderId="0" xfId="0" applyNumberFormat="1"/>
    <xf numFmtId="0" fontId="25" fillId="0" borderId="0" xfId="0" applyFont="1" applyAlignment="1">
      <alignment vertical="center" wrapText="1"/>
    </xf>
    <xf numFmtId="0" fontId="27" fillId="0" borderId="20" xfId="0" applyFont="1" applyBorder="1" applyAlignment="1">
      <alignment vertical="top" wrapText="1"/>
    </xf>
    <xf numFmtId="10" fontId="27" fillId="0" borderId="20" xfId="0" applyNumberFormat="1" applyFont="1" applyBorder="1" applyAlignment="1">
      <alignment horizontal="right" vertical="top" wrapText="1"/>
    </xf>
    <xf numFmtId="0" fontId="27" fillId="0" borderId="20" xfId="0" applyFont="1" applyBorder="1" applyAlignment="1">
      <alignment horizontal="right" vertical="top" wrapText="1"/>
    </xf>
    <xf numFmtId="0" fontId="25" fillId="0" borderId="0" xfId="0" applyFont="1"/>
    <xf numFmtId="0" fontId="24" fillId="0" borderId="0" xfId="0" applyFont="1" applyAlignment="1">
      <alignment vertical="center"/>
    </xf>
    <xf numFmtId="0" fontId="0" fillId="0" borderId="7" xfId="0" applyBorder="1" applyAlignment="1">
      <alignment horizontal="center" vertical="center" wrapText="1"/>
    </xf>
    <xf numFmtId="0" fontId="0" fillId="11" borderId="0" xfId="0" applyFill="1"/>
    <xf numFmtId="0" fontId="28" fillId="0" borderId="0" xfId="0" applyFont="1" applyAlignment="1">
      <alignment vertical="top"/>
    </xf>
    <xf numFmtId="0" fontId="8" fillId="0" borderId="0" xfId="3" quotePrefix="1" applyAlignment="1">
      <alignment vertical="top"/>
    </xf>
    <xf numFmtId="0" fontId="26" fillId="10" borderId="21" xfId="0" applyFont="1" applyFill="1" applyBorder="1" applyAlignment="1">
      <alignment horizontal="left" vertical="center" wrapText="1"/>
    </xf>
    <xf numFmtId="0" fontId="26" fillId="10" borderId="21" xfId="0" applyFont="1" applyFill="1" applyBorder="1" applyAlignment="1">
      <alignment horizontal="right" vertical="center" wrapText="1"/>
    </xf>
    <xf numFmtId="0" fontId="27" fillId="0" borderId="8" xfId="0" applyFont="1" applyBorder="1" applyAlignment="1">
      <alignment vertical="top" wrapText="1"/>
    </xf>
    <xf numFmtId="0" fontId="27" fillId="0" borderId="0" xfId="0" applyFont="1" applyAlignment="1">
      <alignment vertical="top" wrapText="1"/>
    </xf>
    <xf numFmtId="0" fontId="2" fillId="0" borderId="7" xfId="0" applyFont="1" applyBorder="1" applyAlignment="1">
      <alignment horizontal="centerContinuous" vertical="center" wrapText="1"/>
    </xf>
    <xf numFmtId="0" fontId="2" fillId="0" borderId="14" xfId="0" applyFont="1" applyBorder="1" applyAlignment="1">
      <alignment horizontal="centerContinuous" vertical="center" wrapText="1"/>
    </xf>
    <xf numFmtId="0" fontId="2" fillId="0" borderId="13" xfId="0" applyFont="1" applyBorder="1" applyAlignment="1">
      <alignment horizontal="centerContinuous" vertical="center" wrapText="1"/>
    </xf>
    <xf numFmtId="0" fontId="2" fillId="0" borderId="7" xfId="0" applyFont="1" applyBorder="1" applyAlignment="1">
      <alignment horizontal="center" vertical="center" wrapText="1"/>
    </xf>
    <xf numFmtId="0" fontId="29" fillId="0" borderId="0" xfId="0" applyFont="1" applyAlignment="1">
      <alignment horizontal="left" vertical="center" readingOrder="1"/>
    </xf>
    <xf numFmtId="0" fontId="0" fillId="12" borderId="7" xfId="0" applyFill="1" applyBorder="1"/>
    <xf numFmtId="0" fontId="0" fillId="6" borderId="7" xfId="0" applyFill="1" applyBorder="1"/>
    <xf numFmtId="0" fontId="0" fillId="7" borderId="7" xfId="0" applyFill="1" applyBorder="1"/>
    <xf numFmtId="0" fontId="0" fillId="4" borderId="7" xfId="0" applyFill="1" applyBorder="1"/>
    <xf numFmtId="0" fontId="0" fillId="3" borderId="7" xfId="0" applyFill="1" applyBorder="1"/>
    <xf numFmtId="0" fontId="0" fillId="0" borderId="10" xfId="0" applyBorder="1" applyAlignment="1">
      <alignment vertical="top"/>
    </xf>
    <xf numFmtId="0" fontId="0" fillId="0" borderId="22" xfId="0" applyBorder="1" applyAlignment="1">
      <alignment vertical="top"/>
    </xf>
    <xf numFmtId="0" fontId="0" fillId="0" borderId="11" xfId="0" applyBorder="1" applyAlignment="1">
      <alignment vertical="top"/>
    </xf>
    <xf numFmtId="0" fontId="2" fillId="7" borderId="12" xfId="0" applyFont="1" applyFill="1" applyBorder="1" applyAlignment="1">
      <alignment horizontal="center" vertical="center"/>
    </xf>
    <xf numFmtId="0" fontId="2" fillId="7" borderId="14" xfId="0" applyFont="1" applyFill="1" applyBorder="1" applyAlignment="1">
      <alignment horizontal="center" vertical="center"/>
    </xf>
    <xf numFmtId="0" fontId="2" fillId="7" borderId="13" xfId="0" applyFont="1" applyFill="1" applyBorder="1" applyAlignment="1">
      <alignment horizontal="center" vertical="center"/>
    </xf>
    <xf numFmtId="0" fontId="0" fillId="9" borderId="0" xfId="0" applyFill="1" applyAlignment="1">
      <alignment horizontal="left" vertical="top" wrapText="1"/>
    </xf>
    <xf numFmtId="0" fontId="10" fillId="3" borderId="7" xfId="0" applyFont="1" applyFill="1" applyBorder="1" applyAlignment="1">
      <alignment horizontal="center" vertical="top" textRotation="90" wrapText="1"/>
    </xf>
    <xf numFmtId="0" fontId="10" fillId="6" borderId="7" xfId="0" applyFont="1" applyFill="1" applyBorder="1" applyAlignment="1">
      <alignment horizontal="center" vertical="top" textRotation="90" wrapText="1"/>
    </xf>
    <xf numFmtId="0" fontId="10" fillId="4" borderId="7" xfId="0" applyFont="1" applyFill="1" applyBorder="1" applyAlignment="1">
      <alignment horizontal="center" vertical="top" textRotation="90" wrapText="1"/>
    </xf>
    <xf numFmtId="0" fontId="10" fillId="5" borderId="7" xfId="0" applyFont="1" applyFill="1" applyBorder="1" applyAlignment="1">
      <alignment horizontal="center" vertical="top" textRotation="90" wrapText="1"/>
    </xf>
    <xf numFmtId="0" fontId="4" fillId="2" borderId="6" xfId="0" applyFont="1" applyFill="1" applyBorder="1" applyAlignment="1">
      <alignment horizontal="left" vertical="top" wrapText="1"/>
    </xf>
    <xf numFmtId="0" fontId="4" fillId="2" borderId="1" xfId="0" applyFont="1" applyFill="1" applyBorder="1" applyAlignment="1">
      <alignment horizontal="left" vertical="top" wrapText="1"/>
    </xf>
    <xf numFmtId="0" fontId="22" fillId="0" borderId="0" xfId="0" applyFont="1" applyAlignment="1">
      <alignment horizontal="right" vertical="center" wrapText="1"/>
    </xf>
    <xf numFmtId="0" fontId="22" fillId="0" borderId="0" xfId="0" applyFont="1" applyAlignment="1">
      <alignment horizontal="left" vertical="center" wrapText="1" indent="4"/>
    </xf>
  </cellXfs>
  <cellStyles count="4">
    <cellStyle name="Comma" xfId="1" builtinId="3"/>
    <cellStyle name="Hyperlink" xfId="3" builtinId="8"/>
    <cellStyle name="Normal" xfId="0" builtinId="0"/>
    <cellStyle name="Percent"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FFCCFF"/>
      <color rgb="FF66FFFF"/>
      <color rgb="FFFF00FF"/>
      <color rgb="FF0000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GB" sz="1200"/>
              <a:t>Capital Expenditure v Debt Impairment v Unauthorised, Irregular, Fruitless &amp; Wasteful Expenditure </a:t>
            </a:r>
            <a:r>
              <a:rPr lang="en-GB" sz="1200" b="0" i="0" u="none" strike="noStrike" kern="1200" spc="0" baseline="0">
                <a:solidFill>
                  <a:sysClr val="windowText" lastClr="000000">
                    <a:lumMod val="65000"/>
                    <a:lumOff val="35000"/>
                  </a:sysClr>
                </a:solidFill>
              </a:rPr>
              <a:t>(R'Bn)</a:t>
            </a:r>
            <a:r>
              <a:rPr lang="en-GB" sz="1200"/>
              <a:t>  </a:t>
            </a:r>
          </a:p>
        </c:rich>
      </c:tx>
      <c:layout>
        <c:manualLayout>
          <c:xMode val="edge"/>
          <c:yMode val="edge"/>
          <c:x val="0.13891689451458869"/>
          <c:y val="8.087343307723413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9337190448612029E-2"/>
          <c:y val="0.15724669152784765"/>
          <c:w val="0.73618663353624392"/>
          <c:h val="0.66560387399113419"/>
        </c:manualLayout>
      </c:layout>
      <c:lineChart>
        <c:grouping val="standard"/>
        <c:varyColors val="0"/>
        <c:ser>
          <c:idx val="1"/>
          <c:order val="0"/>
          <c:tx>
            <c:strRef>
              <c:f>'AFS Summary &amp; Charts 15yrs'!$C$40</c:f>
              <c:strCache>
                <c:ptCount val="1"/>
                <c:pt idx="0">
                  <c:v>Capital Expenditure</c:v>
                </c:pt>
              </c:strCache>
            </c:strRef>
          </c:tx>
          <c:spPr>
            <a:ln w="28575" cap="rnd">
              <a:solidFill>
                <a:srgbClr val="FF00FF"/>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15yrs'!$D$40:$R$40</c:f>
              <c:numCache>
                <c:formatCode>#,##0.00</c:formatCode>
                <c:ptCount val="15"/>
                <c:pt idx="0">
                  <c:v>4.6258809999999997</c:v>
                </c:pt>
                <c:pt idx="1">
                  <c:v>3.7836449999999999</c:v>
                </c:pt>
                <c:pt idx="2">
                  <c:v>3.6773280000000002</c:v>
                </c:pt>
                <c:pt idx="3">
                  <c:v>4.322235</c:v>
                </c:pt>
                <c:pt idx="4">
                  <c:v>7.3003530000000003</c:v>
                </c:pt>
                <c:pt idx="5">
                  <c:v>9.8188460000000006</c:v>
                </c:pt>
                <c:pt idx="6">
                  <c:v>10.028603</c:v>
                </c:pt>
                <c:pt idx="7">
                  <c:v>7.1009609999999999</c:v>
                </c:pt>
                <c:pt idx="8">
                  <c:v>6.35494</c:v>
                </c:pt>
                <c:pt idx="9">
                  <c:v>7.2736479999999997</c:v>
                </c:pt>
                <c:pt idx="10">
                  <c:v>5.7557520000000002</c:v>
                </c:pt>
                <c:pt idx="11">
                  <c:v>6.7825090000000001</c:v>
                </c:pt>
                <c:pt idx="12">
                  <c:v>6.620654</c:v>
                </c:pt>
                <c:pt idx="13">
                  <c:v>6.5451569999999997</c:v>
                </c:pt>
                <c:pt idx="14">
                  <c:v>7.6484509999999997</c:v>
                </c:pt>
              </c:numCache>
            </c:numRef>
          </c:val>
          <c:smooth val="0"/>
          <c:extLst>
            <c:ext xmlns:c16="http://schemas.microsoft.com/office/drawing/2014/chart" uri="{C3380CC4-5D6E-409C-BE32-E72D297353CC}">
              <c16:uniqueId val="{00000000-E40A-49D6-B4B2-0F99A06CD960}"/>
            </c:ext>
          </c:extLst>
        </c:ser>
        <c:ser>
          <c:idx val="0"/>
          <c:order val="1"/>
          <c:tx>
            <c:strRef>
              <c:f>'AFS Summary &amp; Charts 15yrs'!$C$35</c:f>
              <c:strCache>
                <c:ptCount val="1"/>
                <c:pt idx="0">
                  <c:v>Debt Impairment</c:v>
                </c:pt>
              </c:strCache>
            </c:strRef>
          </c:tx>
          <c:spPr>
            <a:ln w="28575" cap="rnd">
              <a:solidFill>
                <a:srgbClr val="C00000"/>
              </a:solidFill>
              <a:prstDash val="sysDash"/>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15yrs'!$D$35:$R$35</c:f>
              <c:numCache>
                <c:formatCode>#,##0.00</c:formatCode>
                <c:ptCount val="15"/>
                <c:pt idx="0">
                  <c:v>2.0803060000000002</c:v>
                </c:pt>
                <c:pt idx="1">
                  <c:v>2.78037</c:v>
                </c:pt>
                <c:pt idx="2">
                  <c:v>2.1916370000000001</c:v>
                </c:pt>
                <c:pt idx="3">
                  <c:v>2.8796529999999998</c:v>
                </c:pt>
                <c:pt idx="4">
                  <c:v>2.977382</c:v>
                </c:pt>
                <c:pt idx="5">
                  <c:v>3.8627910000000001</c:v>
                </c:pt>
                <c:pt idx="6">
                  <c:v>2.483374</c:v>
                </c:pt>
                <c:pt idx="7">
                  <c:v>3.723735</c:v>
                </c:pt>
                <c:pt idx="8">
                  <c:v>3.3799920000000001</c:v>
                </c:pt>
                <c:pt idx="9">
                  <c:v>4.5788570000000002</c:v>
                </c:pt>
                <c:pt idx="10">
                  <c:v>6.9251180000000003</c:v>
                </c:pt>
                <c:pt idx="11">
                  <c:v>6.4047140000000002</c:v>
                </c:pt>
                <c:pt idx="12">
                  <c:v>5.8481259999999997</c:v>
                </c:pt>
                <c:pt idx="13">
                  <c:v>6.1809849999999997</c:v>
                </c:pt>
                <c:pt idx="14">
                  <c:v>8.7392610000000008</c:v>
                </c:pt>
              </c:numCache>
            </c:numRef>
          </c:val>
          <c:smooth val="0"/>
          <c:extLst>
            <c:ext xmlns:c16="http://schemas.microsoft.com/office/drawing/2014/chart" uri="{C3380CC4-5D6E-409C-BE32-E72D297353CC}">
              <c16:uniqueId val="{00000000-D63B-4D55-B9B0-738ECE68BD54}"/>
            </c:ext>
          </c:extLst>
        </c:ser>
        <c:ser>
          <c:idx val="2"/>
          <c:order val="2"/>
          <c:tx>
            <c:strRef>
              <c:f>'AFS Summary &amp; Charts 15yrs'!$C$48</c:f>
              <c:strCache>
                <c:ptCount val="1"/>
                <c:pt idx="0">
                  <c:v>Unauthorised, Irregular, Fruitless &amp; Wasteful Expenditure</c:v>
                </c:pt>
              </c:strCache>
            </c:strRef>
          </c:tx>
          <c:spPr>
            <a:ln w="28575" cap="rnd">
              <a:solidFill>
                <a:schemeClr val="bg1">
                  <a:lumMod val="50000"/>
                </a:schemeClr>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15yrs'!$D$48:$R$48</c:f>
              <c:numCache>
                <c:formatCode>0.0</c:formatCode>
                <c:ptCount val="15"/>
                <c:pt idx="0">
                  <c:v>0.15987899999999999</c:v>
                </c:pt>
                <c:pt idx="1">
                  <c:v>0.55284100000000003</c:v>
                </c:pt>
                <c:pt idx="2">
                  <c:v>0.78315400000000002</c:v>
                </c:pt>
                <c:pt idx="3">
                  <c:v>0.22498099999999999</c:v>
                </c:pt>
                <c:pt idx="4">
                  <c:v>5.6598999999999997E-2</c:v>
                </c:pt>
                <c:pt idx="5">
                  <c:v>1.2061440000000001</c:v>
                </c:pt>
                <c:pt idx="6">
                  <c:v>0.91997200000000001</c:v>
                </c:pt>
                <c:pt idx="7">
                  <c:v>2.078173</c:v>
                </c:pt>
                <c:pt idx="8">
                  <c:v>2.1314340000000001</c:v>
                </c:pt>
                <c:pt idx="9">
                  <c:v>2.8099759999999998</c:v>
                </c:pt>
                <c:pt idx="10">
                  <c:v>3.8552580000000001</c:v>
                </c:pt>
                <c:pt idx="11">
                  <c:v>3.730791</c:v>
                </c:pt>
                <c:pt idx="12">
                  <c:v>4.9797180000000001</c:v>
                </c:pt>
                <c:pt idx="13">
                  <c:v>4.6913340000000003</c:v>
                </c:pt>
                <c:pt idx="14">
                  <c:v>11.282492</c:v>
                </c:pt>
              </c:numCache>
            </c:numRef>
          </c:val>
          <c:smooth val="0"/>
          <c:extLst>
            <c:ext xmlns:c16="http://schemas.microsoft.com/office/drawing/2014/chart" uri="{C3380CC4-5D6E-409C-BE32-E72D297353CC}">
              <c16:uniqueId val="{00000002-E676-41AB-A511-FAB38DB209E5}"/>
            </c:ext>
          </c:extLst>
        </c:ser>
        <c:ser>
          <c:idx val="3"/>
          <c:order val="3"/>
          <c:tx>
            <c:v>Real Capex with 2010 Base</c:v>
          </c:tx>
          <c:spPr>
            <a:ln w="28575" cap="rnd">
              <a:solidFill>
                <a:srgbClr val="FF00FF"/>
              </a:solidFill>
              <a:prstDash val="sysDot"/>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15yrs'!$D$45:$R$45</c:f>
              <c:numCache>
                <c:formatCode>#,##0.00_ ;[Red]\-#,##0.00\ </c:formatCode>
                <c:ptCount val="15"/>
                <c:pt idx="0">
                  <c:v>4.6258809999999997</c:v>
                </c:pt>
                <c:pt idx="1">
                  <c:v>3.4582259391280501</c:v>
                </c:pt>
                <c:pt idx="2">
                  <c:v>3.1828152653488542</c:v>
                </c:pt>
                <c:pt idx="3">
                  <c:v>3.5392598731649061</c:v>
                </c:pt>
                <c:pt idx="4">
                  <c:v>5.6342038102041165</c:v>
                </c:pt>
                <c:pt idx="5">
                  <c:v>7.2446507955468986</c:v>
                </c:pt>
                <c:pt idx="6">
                  <c:v>6.9608805755046852</c:v>
                </c:pt>
                <c:pt idx="7">
                  <c:v>4.680718246094175</c:v>
                </c:pt>
                <c:pt idx="8">
                  <c:v>4.0047475311161174</c:v>
                </c:pt>
                <c:pt idx="9">
                  <c:v>4.4031678206998155</c:v>
                </c:pt>
                <c:pt idx="10">
                  <c:v>3.3729873299203765</c:v>
                </c:pt>
                <c:pt idx="11">
                  <c:v>3.7998926790551599</c:v>
                </c:pt>
                <c:pt idx="12">
                  <c:v>3.4697975733696445</c:v>
                </c:pt>
                <c:pt idx="13">
                  <c:v>3.2391223700631833</c:v>
                </c:pt>
                <c:pt idx="14">
                  <c:v>3.6152146976089199</c:v>
                </c:pt>
              </c:numCache>
            </c:numRef>
          </c:val>
          <c:smooth val="0"/>
          <c:extLst>
            <c:ext xmlns:c16="http://schemas.microsoft.com/office/drawing/2014/chart" uri="{C3380CC4-5D6E-409C-BE32-E72D297353CC}">
              <c16:uniqueId val="{00000000-3940-4E93-A0D9-FD744BEE67A3}"/>
            </c:ext>
          </c:extLst>
        </c:ser>
        <c:dLbls>
          <c:showLegendKey val="0"/>
          <c:showVal val="0"/>
          <c:showCatName val="0"/>
          <c:showSerName val="0"/>
          <c:showPercent val="0"/>
          <c:showBubbleSize val="0"/>
        </c:dLbls>
        <c:smooth val="0"/>
        <c:axId val="162099776"/>
        <c:axId val="153344512"/>
      </c:lineChart>
      <c:catAx>
        <c:axId val="162099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53344512"/>
        <c:crosses val="autoZero"/>
        <c:auto val="1"/>
        <c:lblAlgn val="ctr"/>
        <c:lblOffset val="100"/>
        <c:noMultiLvlLbl val="0"/>
      </c:catAx>
      <c:valAx>
        <c:axId val="1533445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GB" sz="1200" baseline="0"/>
                  <a:t>RBn</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62099776"/>
        <c:crosses val="autoZero"/>
        <c:crossBetween val="between"/>
      </c:valAx>
      <c:spPr>
        <a:noFill/>
        <a:ln>
          <a:noFill/>
        </a:ln>
        <a:effectLst/>
      </c:spPr>
    </c:plotArea>
    <c:legend>
      <c:legendPos val="r"/>
      <c:layout>
        <c:manualLayout>
          <c:xMode val="edge"/>
          <c:yMode val="edge"/>
          <c:x val="0.82013668866374845"/>
          <c:y val="0.13166551025759912"/>
          <c:w val="0.17986331133625161"/>
          <c:h val="0.8196979516191581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baseline="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Key Income &amp; Costs Compared to 2010 as % Increase Over Time (Excluding</a:t>
            </a:r>
            <a:r>
              <a:rPr lang="en-GB" baseline="0"/>
              <a:t> UIFWe)</a:t>
            </a:r>
            <a:endParaRPr lang="en-GB"/>
          </a:p>
        </c:rich>
      </c:tx>
      <c:layout>
        <c:manualLayout>
          <c:xMode val="edge"/>
          <c:yMode val="edge"/>
          <c:x val="0.17532651928697365"/>
          <c:y val="2.202685831382376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6.0400867488517737E-2"/>
          <c:y val="0.13359234458119787"/>
          <c:w val="0.6823559126384241"/>
          <c:h val="0.71590650297095293"/>
        </c:manualLayout>
      </c:layout>
      <c:lineChart>
        <c:grouping val="standard"/>
        <c:varyColors val="0"/>
        <c:ser>
          <c:idx val="1"/>
          <c:order val="0"/>
          <c:tx>
            <c:strRef>
              <c:f>'AFS Summary &amp; Charts 15yrs'!$C$11</c:f>
              <c:strCache>
                <c:ptCount val="1"/>
                <c:pt idx="0">
                  <c:v>Total Revenue</c:v>
                </c:pt>
              </c:strCache>
            </c:strRef>
          </c:tx>
          <c:spPr>
            <a:ln w="28575" cap="rnd">
              <a:solidFill>
                <a:schemeClr val="accent6">
                  <a:lumMod val="50000"/>
                </a:schemeClr>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15yrs'!$D$12:$R$12</c:f>
              <c:numCache>
                <c:formatCode>0%</c:formatCode>
                <c:ptCount val="15"/>
                <c:pt idx="0">
                  <c:v>1</c:v>
                </c:pt>
                <c:pt idx="1">
                  <c:v>1.1430205363369759</c:v>
                </c:pt>
                <c:pt idx="2">
                  <c:v>1.3122883246721684</c:v>
                </c:pt>
                <c:pt idx="3">
                  <c:v>1.3382207309089735</c:v>
                </c:pt>
                <c:pt idx="4">
                  <c:v>1.4727198507780561</c:v>
                </c:pt>
                <c:pt idx="5">
                  <c:v>1.5882856834170871</c:v>
                </c:pt>
                <c:pt idx="6">
                  <c:v>1.6801399701159057</c:v>
                </c:pt>
                <c:pt idx="7">
                  <c:v>1.7408477134934996</c:v>
                </c:pt>
                <c:pt idx="8">
                  <c:v>1.8197930173687162</c:v>
                </c:pt>
                <c:pt idx="9">
                  <c:v>2.1181198583895431</c:v>
                </c:pt>
                <c:pt idx="10">
                  <c:v>2.2222742472532246</c:v>
                </c:pt>
                <c:pt idx="11">
                  <c:v>2.3439220645021042</c:v>
                </c:pt>
                <c:pt idx="12">
                  <c:v>2.4000088379102351</c:v>
                </c:pt>
                <c:pt idx="13">
                  <c:v>2.4542986717724697</c:v>
                </c:pt>
                <c:pt idx="14">
                  <c:v>2.8360561902528425</c:v>
                </c:pt>
              </c:numCache>
            </c:numRef>
          </c:val>
          <c:smooth val="0"/>
          <c:extLst>
            <c:ext xmlns:c16="http://schemas.microsoft.com/office/drawing/2014/chart" uri="{C3380CC4-5D6E-409C-BE32-E72D297353CC}">
              <c16:uniqueId val="{00000001-5058-469E-A858-488C79D27AD2}"/>
            </c:ext>
          </c:extLst>
        </c:ser>
        <c:ser>
          <c:idx val="0"/>
          <c:order val="1"/>
          <c:tx>
            <c:strRef>
              <c:f>'AFS Summary &amp; Charts 15yrs'!$C$16</c:f>
              <c:strCache>
                <c:ptCount val="1"/>
                <c:pt idx="0">
                  <c:v>Property Rates Income</c:v>
                </c:pt>
              </c:strCache>
            </c:strRef>
          </c:tx>
          <c:spPr>
            <a:ln w="28575" cap="rnd">
              <a:solidFill>
                <a:srgbClr val="92D050"/>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15yrs'!$D$17:$R$17</c:f>
              <c:numCache>
                <c:formatCode>0%</c:formatCode>
                <c:ptCount val="15"/>
                <c:pt idx="0">
                  <c:v>1</c:v>
                </c:pt>
                <c:pt idx="1">
                  <c:v>1.2182248163056895</c:v>
                </c:pt>
                <c:pt idx="2">
                  <c:v>1.3364244725586292</c:v>
                </c:pt>
                <c:pt idx="3">
                  <c:v>1.4756262297623917</c:v>
                </c:pt>
                <c:pt idx="4">
                  <c:v>1.7816818519971627</c:v>
                </c:pt>
                <c:pt idx="5">
                  <c:v>1.8950010999807165</c:v>
                </c:pt>
                <c:pt idx="6">
                  <c:v>2.0093620580972531</c:v>
                </c:pt>
                <c:pt idx="7">
                  <c:v>2.2494815522987128</c:v>
                </c:pt>
                <c:pt idx="8">
                  <c:v>2.2494815522987128</c:v>
                </c:pt>
                <c:pt idx="9">
                  <c:v>3.0547691633060263</c:v>
                </c:pt>
                <c:pt idx="10">
                  <c:v>3.0992602351909389</c:v>
                </c:pt>
                <c:pt idx="11">
                  <c:v>3.2186576482239451</c:v>
                </c:pt>
                <c:pt idx="12">
                  <c:v>3.3332079857365464</c:v>
                </c:pt>
                <c:pt idx="13">
                  <c:v>3.4690458512949527</c:v>
                </c:pt>
                <c:pt idx="14">
                  <c:v>4.1478149395405657</c:v>
                </c:pt>
              </c:numCache>
            </c:numRef>
          </c:val>
          <c:smooth val="0"/>
          <c:extLst>
            <c:ext xmlns:c16="http://schemas.microsoft.com/office/drawing/2014/chart" uri="{C3380CC4-5D6E-409C-BE32-E72D297353CC}">
              <c16:uniqueId val="{00000002-5058-469E-A858-488C79D27AD2}"/>
            </c:ext>
          </c:extLst>
        </c:ser>
        <c:ser>
          <c:idx val="2"/>
          <c:order val="2"/>
          <c:tx>
            <c:strRef>
              <c:f>'AFS Summary &amp; Charts 15yrs'!$C$21</c:f>
              <c:strCache>
                <c:ptCount val="1"/>
                <c:pt idx="0">
                  <c:v>Service Charge Income</c:v>
                </c:pt>
              </c:strCache>
            </c:strRef>
          </c:tx>
          <c:spPr>
            <a:ln w="28575" cap="rnd">
              <a:solidFill>
                <a:srgbClr val="00B050"/>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15yrs'!$D$22:$R$22</c:f>
              <c:numCache>
                <c:formatCode>0%</c:formatCode>
                <c:ptCount val="15"/>
                <c:pt idx="0">
                  <c:v>1</c:v>
                </c:pt>
                <c:pt idx="1">
                  <c:v>1.2189586449730059</c:v>
                </c:pt>
                <c:pt idx="2">
                  <c:v>1.453432507712769</c:v>
                </c:pt>
                <c:pt idx="3">
                  <c:v>1.5478752669265174</c:v>
                </c:pt>
                <c:pt idx="4">
                  <c:v>1.6121573032177043</c:v>
                </c:pt>
                <c:pt idx="5">
                  <c:v>1.7234715413956996</c:v>
                </c:pt>
                <c:pt idx="6">
                  <c:v>1.8696205265640222</c:v>
                </c:pt>
                <c:pt idx="7">
                  <c:v>2.0109853710844598</c:v>
                </c:pt>
                <c:pt idx="8">
                  <c:v>1.9894720855671546</c:v>
                </c:pt>
                <c:pt idx="9">
                  <c:v>2.1868398665297288</c:v>
                </c:pt>
                <c:pt idx="10">
                  <c:v>2.3628020742629743</c:v>
                </c:pt>
                <c:pt idx="11">
                  <c:v>2.4283928469103042</c:v>
                </c:pt>
                <c:pt idx="12">
                  <c:v>2.6627430488908801</c:v>
                </c:pt>
                <c:pt idx="13">
                  <c:v>2.6185896662722294</c:v>
                </c:pt>
                <c:pt idx="14">
                  <c:v>3.0403440221483398</c:v>
                </c:pt>
              </c:numCache>
            </c:numRef>
          </c:val>
          <c:smooth val="0"/>
          <c:extLst>
            <c:ext xmlns:c16="http://schemas.microsoft.com/office/drawing/2014/chart" uri="{C3380CC4-5D6E-409C-BE32-E72D297353CC}">
              <c16:uniqueId val="{00000003-5058-469E-A858-488C79D27AD2}"/>
            </c:ext>
          </c:extLst>
        </c:ser>
        <c:ser>
          <c:idx val="3"/>
          <c:order val="3"/>
          <c:tx>
            <c:strRef>
              <c:f>'AFS Summary &amp; Charts 15yrs'!$C$28</c:f>
              <c:strCache>
                <c:ptCount val="1"/>
                <c:pt idx="0">
                  <c:v>Employment Costs</c:v>
                </c:pt>
              </c:strCache>
            </c:strRef>
          </c:tx>
          <c:spPr>
            <a:ln w="28575" cap="rnd">
              <a:solidFill>
                <a:schemeClr val="accent4"/>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15yrs'!$D$29:$R$29</c:f>
              <c:numCache>
                <c:formatCode>0%</c:formatCode>
                <c:ptCount val="15"/>
                <c:pt idx="0">
                  <c:v>1</c:v>
                </c:pt>
                <c:pt idx="1">
                  <c:v>1.0916184574095218</c:v>
                </c:pt>
                <c:pt idx="2">
                  <c:v>1.1603555036853463</c:v>
                </c:pt>
                <c:pt idx="3">
                  <c:v>1.2569131247867413</c:v>
                </c:pt>
                <c:pt idx="4">
                  <c:v>1.3403134240154495</c:v>
                </c:pt>
                <c:pt idx="5">
                  <c:v>1.4494174895231138</c:v>
                </c:pt>
                <c:pt idx="6">
                  <c:v>1.5186444190268418</c:v>
                </c:pt>
                <c:pt idx="7">
                  <c:v>1.6633050968443286</c:v>
                </c:pt>
                <c:pt idx="8">
                  <c:v>1.8030203671947325</c:v>
                </c:pt>
                <c:pt idx="9">
                  <c:v>2.1228002083058413</c:v>
                </c:pt>
                <c:pt idx="10">
                  <c:v>2.4233819594046611</c:v>
                </c:pt>
                <c:pt idx="11">
                  <c:v>2.5765691028977531</c:v>
                </c:pt>
                <c:pt idx="12">
                  <c:v>2.7214520253625527</c:v>
                </c:pt>
                <c:pt idx="13">
                  <c:v>2.9723505383652991</c:v>
                </c:pt>
                <c:pt idx="14">
                  <c:v>3.2676476931275609</c:v>
                </c:pt>
              </c:numCache>
            </c:numRef>
          </c:val>
          <c:smooth val="0"/>
          <c:extLst>
            <c:ext xmlns:c16="http://schemas.microsoft.com/office/drawing/2014/chart" uri="{C3380CC4-5D6E-409C-BE32-E72D297353CC}">
              <c16:uniqueId val="{00000004-5058-469E-A858-488C79D27AD2}"/>
            </c:ext>
          </c:extLst>
        </c:ser>
        <c:ser>
          <c:idx val="5"/>
          <c:order val="4"/>
          <c:tx>
            <c:strRef>
              <c:f>'AFS Summary &amp; Charts 15yrs'!$C$40</c:f>
              <c:strCache>
                <c:ptCount val="1"/>
                <c:pt idx="0">
                  <c:v>Capital Expenditure</c:v>
                </c:pt>
              </c:strCache>
            </c:strRef>
          </c:tx>
          <c:spPr>
            <a:ln w="28575" cap="rnd">
              <a:solidFill>
                <a:srgbClr val="FF00FF"/>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15yrs'!$D$41:$R$41</c:f>
              <c:numCache>
                <c:formatCode>0%</c:formatCode>
                <c:ptCount val="15"/>
                <c:pt idx="0">
                  <c:v>1</c:v>
                </c:pt>
                <c:pt idx="1">
                  <c:v>0.81792960086954247</c:v>
                </c:pt>
                <c:pt idx="2">
                  <c:v>0.79494651937652538</c:v>
                </c:pt>
                <c:pt idx="3">
                  <c:v>0.93435931447436726</c:v>
                </c:pt>
                <c:pt idx="4">
                  <c:v>1.5781540856757883</c:v>
                </c:pt>
                <c:pt idx="5">
                  <c:v>2.1225894051316931</c:v>
                </c:pt>
                <c:pt idx="6">
                  <c:v>2.1679336325339977</c:v>
                </c:pt>
                <c:pt idx="7">
                  <c:v>1.5350505125402059</c:v>
                </c:pt>
                <c:pt idx="8">
                  <c:v>1.3737793946709829</c:v>
                </c:pt>
                <c:pt idx="9">
                  <c:v>1.5723811312915312</c:v>
                </c:pt>
                <c:pt idx="10">
                  <c:v>1.24424990612599</c:v>
                </c:pt>
                <c:pt idx="11">
                  <c:v>1.466209139405013</c:v>
                </c:pt>
                <c:pt idx="12">
                  <c:v>1.431220128663059</c:v>
                </c:pt>
                <c:pt idx="13">
                  <c:v>1.4148995618348159</c:v>
                </c:pt>
                <c:pt idx="14">
                  <c:v>1.6534041839813864</c:v>
                </c:pt>
              </c:numCache>
            </c:numRef>
          </c:val>
          <c:smooth val="0"/>
          <c:extLst>
            <c:ext xmlns:c16="http://schemas.microsoft.com/office/drawing/2014/chart" uri="{C3380CC4-5D6E-409C-BE32-E72D297353CC}">
              <c16:uniqueId val="{00000000-BFAC-4179-8E28-B824A3607787}"/>
            </c:ext>
          </c:extLst>
        </c:ser>
        <c:ser>
          <c:idx val="4"/>
          <c:order val="5"/>
          <c:tx>
            <c:strRef>
              <c:f>'AFS Summary &amp; Charts 15yrs'!$C$35</c:f>
              <c:strCache>
                <c:ptCount val="1"/>
                <c:pt idx="0">
                  <c:v>Debt Impairment</c:v>
                </c:pt>
              </c:strCache>
            </c:strRef>
          </c:tx>
          <c:spPr>
            <a:ln w="28575" cap="rnd">
              <a:solidFill>
                <a:srgbClr val="C00000"/>
              </a:solidFill>
              <a:prstDash val="sysDash"/>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15yrs'!$D$36:$R$36</c:f>
              <c:numCache>
                <c:formatCode>0%</c:formatCode>
                <c:ptCount val="15"/>
                <c:pt idx="0">
                  <c:v>1</c:v>
                </c:pt>
                <c:pt idx="1">
                  <c:v>1.3365197235406714</c:v>
                </c:pt>
                <c:pt idx="2">
                  <c:v>1.0535166461087935</c:v>
                </c:pt>
                <c:pt idx="3">
                  <c:v>1.3842449139693869</c:v>
                </c:pt>
                <c:pt idx="4">
                  <c:v>1.4312230989094872</c:v>
                </c:pt>
                <c:pt idx="5">
                  <c:v>1.8568378882722059</c:v>
                </c:pt>
                <c:pt idx="6">
                  <c:v>1.1937541880857911</c:v>
                </c:pt>
                <c:pt idx="7">
                  <c:v>1.789993875900949</c:v>
                </c:pt>
                <c:pt idx="8">
                  <c:v>1.6247571270764973</c:v>
                </c:pt>
                <c:pt idx="9">
                  <c:v>2.2010497494118653</c:v>
                </c:pt>
                <c:pt idx="10">
                  <c:v>3.3288939223364253</c:v>
                </c:pt>
                <c:pt idx="11">
                  <c:v>3.0787364935735413</c:v>
                </c:pt>
                <c:pt idx="12">
                  <c:v>2.811185469829919</c:v>
                </c:pt>
                <c:pt idx="13">
                  <c:v>2.9711902960429857</c:v>
                </c:pt>
                <c:pt idx="14">
                  <c:v>4.2009497641212397</c:v>
                </c:pt>
              </c:numCache>
            </c:numRef>
          </c:val>
          <c:smooth val="0"/>
          <c:extLst>
            <c:ext xmlns:c16="http://schemas.microsoft.com/office/drawing/2014/chart" uri="{C3380CC4-5D6E-409C-BE32-E72D297353CC}">
              <c16:uniqueId val="{00000005-5058-469E-A858-488C79D27AD2}"/>
            </c:ext>
          </c:extLst>
        </c:ser>
        <c:dLbls>
          <c:showLegendKey val="0"/>
          <c:showVal val="0"/>
          <c:showCatName val="0"/>
          <c:showSerName val="0"/>
          <c:showPercent val="0"/>
          <c:showBubbleSize val="0"/>
        </c:dLbls>
        <c:smooth val="0"/>
        <c:axId val="162099776"/>
        <c:axId val="153344512"/>
        <c:extLst>
          <c:ext xmlns:c15="http://schemas.microsoft.com/office/drawing/2012/chart" uri="{02D57815-91ED-43cb-92C2-25804820EDAC}">
            <c15:filteredLineSeries>
              <c15:ser>
                <c:idx val="6"/>
                <c:order val="6"/>
                <c:tx>
                  <c:strRef>
                    <c:extLst>
                      <c:ext uri="{02D57815-91ED-43cb-92C2-25804820EDAC}">
                        <c15:formulaRef>
                          <c15:sqref>'AFS Summary &amp; Charts 15yrs'!$C$48</c15:sqref>
                        </c15:formulaRef>
                      </c:ext>
                    </c:extLst>
                    <c:strCache>
                      <c:ptCount val="1"/>
                      <c:pt idx="0">
                        <c:v>Unauthorised, Irregular, Fruitless &amp; Wasteful Expenditure</c:v>
                      </c:pt>
                    </c:strCache>
                  </c:strRef>
                </c:tx>
                <c:spPr>
                  <a:ln w="28575" cap="rnd">
                    <a:solidFill>
                      <a:schemeClr val="bg1">
                        <a:lumMod val="50000"/>
                      </a:schemeClr>
                    </a:solidFill>
                    <a:round/>
                  </a:ln>
                  <a:effectLst/>
                </c:spPr>
                <c:marker>
                  <c:symbol val="none"/>
                </c:marker>
                <c:cat>
                  <c:strRef>
                    <c:extLst>
                      <c:ext uri="{02D57815-91ED-43cb-92C2-25804820EDAC}">
                        <c15:formulaRef>
                          <c15:sqref>'AFS Summary &amp; Charts 15yrs'!$D$8:$R$8</c15:sqref>
                        </c15:formulaRef>
                      </c:ext>
                    </c:extLst>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extLst>
                      <c:ext uri="{02D57815-91ED-43cb-92C2-25804820EDAC}">
                        <c15:formulaRef>
                          <c15:sqref>'AFS Summary &amp; Charts 15yrs'!$D$49:$R$49</c15:sqref>
                        </c15:formulaRef>
                      </c:ext>
                    </c:extLst>
                    <c:numCache>
                      <c:formatCode>0%</c:formatCode>
                      <c:ptCount val="15"/>
                      <c:pt idx="1">
                        <c:v>3.4578712651442656</c:v>
                      </c:pt>
                      <c:pt idx="2">
                        <c:v>4.8984169278016507</c:v>
                      </c:pt>
                      <c:pt idx="3">
                        <c:v>1.4071954415526742</c:v>
                      </c:pt>
                      <c:pt idx="4">
                        <c:v>0.35401147117507614</c:v>
                      </c:pt>
                      <c:pt idx="5">
                        <c:v>7.5441052295798707</c:v>
                      </c:pt>
                      <c:pt idx="6">
                        <c:v>5.7541765960507636</c:v>
                      </c:pt>
                      <c:pt idx="7">
                        <c:v>12.998411298544525</c:v>
                      </c:pt>
                      <c:pt idx="8">
                        <c:v>13.331544480513388</c:v>
                      </c:pt>
                      <c:pt idx="9">
                        <c:v>17.575641578944076</c:v>
                      </c:pt>
                      <c:pt idx="10">
                        <c:v>24.113598408796655</c:v>
                      </c:pt>
                      <c:pt idx="11">
                        <c:v>23.335090912502579</c:v>
                      </c:pt>
                      <c:pt idx="12">
                        <c:v>31.146792261647875</c:v>
                      </c:pt>
                      <c:pt idx="13">
                        <c:v>29.343028165049823</c:v>
                      </c:pt>
                      <c:pt idx="14">
                        <c:v>70.568942762964497</c:v>
                      </c:pt>
                    </c:numCache>
                  </c:numRef>
                </c:val>
                <c:smooth val="0"/>
                <c:extLst>
                  <c:ext xmlns:c16="http://schemas.microsoft.com/office/drawing/2014/chart" uri="{C3380CC4-5D6E-409C-BE32-E72D297353CC}">
                    <c16:uniqueId val="{00000001-33B0-4043-9507-1473B30C0CA4}"/>
                  </c:ext>
                </c:extLst>
              </c15:ser>
            </c15:filteredLineSeries>
          </c:ext>
        </c:extLst>
      </c:lineChart>
      <c:catAx>
        <c:axId val="162099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344512"/>
        <c:crosses val="autoZero"/>
        <c:auto val="1"/>
        <c:lblAlgn val="ctr"/>
        <c:lblOffset val="100"/>
        <c:noMultiLvlLbl val="0"/>
      </c:catAx>
      <c:valAx>
        <c:axId val="153344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099776"/>
        <c:crosses val="autoZero"/>
        <c:crossBetween val="between"/>
      </c:valAx>
      <c:spPr>
        <a:noFill/>
        <a:ln>
          <a:noFill/>
        </a:ln>
        <a:effectLst/>
      </c:spPr>
    </c:plotArea>
    <c:legend>
      <c:legendPos val="r"/>
      <c:layout>
        <c:manualLayout>
          <c:xMode val="edge"/>
          <c:yMode val="edge"/>
          <c:x val="0.76109518800899156"/>
          <c:y val="0.19715409051629154"/>
          <c:w val="0.2297356080499835"/>
          <c:h val="0.699663894193177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Key Income &amp; Costs (R'Bn)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965715436677101E-2"/>
          <c:y val="0.13406950029373055"/>
          <c:w val="0.66403467775151837"/>
          <c:h val="0.71489179785872703"/>
        </c:manualLayout>
      </c:layout>
      <c:lineChart>
        <c:grouping val="standard"/>
        <c:varyColors val="0"/>
        <c:ser>
          <c:idx val="1"/>
          <c:order val="0"/>
          <c:tx>
            <c:strRef>
              <c:f>'AFS Summary &amp; Charts 15yrs'!$C$11</c:f>
              <c:strCache>
                <c:ptCount val="1"/>
                <c:pt idx="0">
                  <c:v>Total Revenue</c:v>
                </c:pt>
              </c:strCache>
            </c:strRef>
          </c:tx>
          <c:spPr>
            <a:ln w="28575" cap="rnd">
              <a:solidFill>
                <a:schemeClr val="accent6">
                  <a:lumMod val="50000"/>
                </a:schemeClr>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15yrs'!$D$11:$R$11</c:f>
              <c:numCache>
                <c:formatCode>_-* #,##0.00_-;\-* #,##0.00_-;_-* "-"??_-;_-@_-</c:formatCode>
                <c:ptCount val="15"/>
                <c:pt idx="0">
                  <c:v>26.092141000000002</c:v>
                </c:pt>
                <c:pt idx="1">
                  <c:v>29.823853</c:v>
                </c:pt>
                <c:pt idx="2">
                  <c:v>34.240411999999999</c:v>
                </c:pt>
                <c:pt idx="3">
                  <c:v>34.917043999999997</c:v>
                </c:pt>
                <c:pt idx="4">
                  <c:v>38.426414000000001</c:v>
                </c:pt>
                <c:pt idx="5">
                  <c:v>41.441774000000002</c:v>
                </c:pt>
                <c:pt idx="6">
                  <c:v>43.838448999999997</c:v>
                </c:pt>
                <c:pt idx="7">
                  <c:v>45.422443999999999</c:v>
                </c:pt>
                <c:pt idx="8">
                  <c:v>47.482295999999998</c:v>
                </c:pt>
                <c:pt idx="9">
                  <c:v>55.266281999999997</c:v>
                </c:pt>
                <c:pt idx="10">
                  <c:v>57.983893000000002</c:v>
                </c:pt>
                <c:pt idx="11">
                  <c:v>61.157944999999998</c:v>
                </c:pt>
                <c:pt idx="12">
                  <c:v>62.621369000000001</c:v>
                </c:pt>
                <c:pt idx="13">
                  <c:v>64.037907000000004</c:v>
                </c:pt>
                <c:pt idx="14">
                  <c:v>73.998778000000001</c:v>
                </c:pt>
              </c:numCache>
            </c:numRef>
          </c:val>
          <c:smooth val="0"/>
          <c:extLst>
            <c:ext xmlns:c16="http://schemas.microsoft.com/office/drawing/2014/chart" uri="{C3380CC4-5D6E-409C-BE32-E72D297353CC}">
              <c16:uniqueId val="{00000000-0B7D-4EF8-9EF8-589D7A66F993}"/>
            </c:ext>
          </c:extLst>
        </c:ser>
        <c:ser>
          <c:idx val="2"/>
          <c:order val="1"/>
          <c:tx>
            <c:strRef>
              <c:f>'AFS Summary &amp; Charts 15yrs'!$C$21</c:f>
              <c:strCache>
                <c:ptCount val="1"/>
                <c:pt idx="0">
                  <c:v>Service Charge Income</c:v>
                </c:pt>
              </c:strCache>
            </c:strRef>
          </c:tx>
          <c:spPr>
            <a:ln w="28575" cap="rnd">
              <a:solidFill>
                <a:srgbClr val="00B050"/>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15yrs'!$D$21:$R$21</c:f>
              <c:numCache>
                <c:formatCode>#,##0.00</c:formatCode>
                <c:ptCount val="15"/>
                <c:pt idx="0">
                  <c:v>12.477684999999999</c:v>
                </c:pt>
                <c:pt idx="1">
                  <c:v>15.209782000000001</c:v>
                </c:pt>
                <c:pt idx="2">
                  <c:v>18.135473000000001</c:v>
                </c:pt>
                <c:pt idx="3">
                  <c:v>19.3139</c:v>
                </c:pt>
                <c:pt idx="4">
                  <c:v>20.115991000000001</c:v>
                </c:pt>
                <c:pt idx="5">
                  <c:v>21.504935</c:v>
                </c:pt>
                <c:pt idx="6">
                  <c:v>23.328536</c:v>
                </c:pt>
                <c:pt idx="7">
                  <c:v>25.092441999999998</c:v>
                </c:pt>
                <c:pt idx="8">
                  <c:v>24.824006000000001</c:v>
                </c:pt>
                <c:pt idx="9">
                  <c:v>27.286698999999999</c:v>
                </c:pt>
                <c:pt idx="10">
                  <c:v>29.482299999999999</c:v>
                </c:pt>
                <c:pt idx="11">
                  <c:v>30.300720999999999</c:v>
                </c:pt>
                <c:pt idx="12">
                  <c:v>33.224868999999998</c:v>
                </c:pt>
                <c:pt idx="13">
                  <c:v>32.673937000000002</c:v>
                </c:pt>
                <c:pt idx="14">
                  <c:v>37.936455000000002</c:v>
                </c:pt>
              </c:numCache>
            </c:numRef>
          </c:val>
          <c:smooth val="0"/>
          <c:extLst>
            <c:ext xmlns:c16="http://schemas.microsoft.com/office/drawing/2014/chart" uri="{C3380CC4-5D6E-409C-BE32-E72D297353CC}">
              <c16:uniqueId val="{00000002-0B7D-4EF8-9EF8-589D7A66F993}"/>
            </c:ext>
          </c:extLst>
        </c:ser>
        <c:ser>
          <c:idx val="0"/>
          <c:order val="2"/>
          <c:tx>
            <c:strRef>
              <c:f>'AFS Summary &amp; Charts 15yrs'!$C$16</c:f>
              <c:strCache>
                <c:ptCount val="1"/>
                <c:pt idx="0">
                  <c:v>Property Rates Income</c:v>
                </c:pt>
              </c:strCache>
            </c:strRef>
          </c:tx>
          <c:spPr>
            <a:ln w="28575" cap="rnd">
              <a:solidFill>
                <a:srgbClr val="92D050"/>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15yrs'!$D$16:$R$16</c:f>
              <c:numCache>
                <c:formatCode>#,##0.00</c:formatCode>
                <c:ptCount val="15"/>
                <c:pt idx="0">
                  <c:v>4.050071</c:v>
                </c:pt>
                <c:pt idx="1">
                  <c:v>4.933897</c:v>
                </c:pt>
                <c:pt idx="2">
                  <c:v>5.4126139999999996</c:v>
                </c:pt>
                <c:pt idx="3">
                  <c:v>5.9763909999999996</c:v>
                </c:pt>
                <c:pt idx="4">
                  <c:v>7.2159380000000004</c:v>
                </c:pt>
                <c:pt idx="5">
                  <c:v>7.6748890000000003</c:v>
                </c:pt>
                <c:pt idx="6">
                  <c:v>8.1380590000000002</c:v>
                </c:pt>
                <c:pt idx="7">
                  <c:v>9.1105599999999995</c:v>
                </c:pt>
                <c:pt idx="8">
                  <c:v>9.1105599999999995</c:v>
                </c:pt>
                <c:pt idx="9">
                  <c:v>12.372032000000001</c:v>
                </c:pt>
                <c:pt idx="10">
                  <c:v>12.552224000000001</c:v>
                </c:pt>
                <c:pt idx="11">
                  <c:v>13.035792000000001</c:v>
                </c:pt>
                <c:pt idx="12">
                  <c:v>13.499729</c:v>
                </c:pt>
                <c:pt idx="13">
                  <c:v>14.049882</c:v>
                </c:pt>
                <c:pt idx="14">
                  <c:v>16.798945</c:v>
                </c:pt>
              </c:numCache>
            </c:numRef>
          </c:val>
          <c:smooth val="0"/>
          <c:extLst>
            <c:ext xmlns:c16="http://schemas.microsoft.com/office/drawing/2014/chart" uri="{C3380CC4-5D6E-409C-BE32-E72D297353CC}">
              <c16:uniqueId val="{00000001-0B7D-4EF8-9EF8-589D7A66F993}"/>
            </c:ext>
          </c:extLst>
        </c:ser>
        <c:ser>
          <c:idx val="3"/>
          <c:order val="3"/>
          <c:tx>
            <c:strRef>
              <c:f>'AFS Summary &amp; Charts 15yrs'!$C$28</c:f>
              <c:strCache>
                <c:ptCount val="1"/>
                <c:pt idx="0">
                  <c:v>Employment Costs</c:v>
                </c:pt>
              </c:strCache>
            </c:strRef>
          </c:tx>
          <c:spPr>
            <a:ln w="28575" cap="rnd">
              <a:solidFill>
                <a:schemeClr val="accent4"/>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15yrs'!$D$28:$R$28</c:f>
              <c:numCache>
                <c:formatCode>#,##0.00</c:formatCode>
                <c:ptCount val="15"/>
                <c:pt idx="0">
                  <c:v>5.9259019999999998</c:v>
                </c:pt>
                <c:pt idx="1">
                  <c:v>6.4688239999999997</c:v>
                </c:pt>
                <c:pt idx="2">
                  <c:v>6.8761530000000004</c:v>
                </c:pt>
                <c:pt idx="3">
                  <c:v>7.4483439999999996</c:v>
                </c:pt>
                <c:pt idx="4">
                  <c:v>7.9425660000000002</c:v>
                </c:pt>
                <c:pt idx="5">
                  <c:v>8.5891059999999992</c:v>
                </c:pt>
                <c:pt idx="6">
                  <c:v>8.9993379999999998</c:v>
                </c:pt>
                <c:pt idx="7">
                  <c:v>9.8565830000000005</c:v>
                </c:pt>
                <c:pt idx="8">
                  <c:v>10.684521999999999</c:v>
                </c:pt>
                <c:pt idx="9">
                  <c:v>12.579506</c:v>
                </c:pt>
                <c:pt idx="10">
                  <c:v>14.360723999999999</c:v>
                </c:pt>
                <c:pt idx="11">
                  <c:v>15.268496000000001</c:v>
                </c:pt>
                <c:pt idx="12">
                  <c:v>16.127058000000002</c:v>
                </c:pt>
                <c:pt idx="13">
                  <c:v>17.613858</c:v>
                </c:pt>
                <c:pt idx="14">
                  <c:v>19.363759999999999</c:v>
                </c:pt>
              </c:numCache>
            </c:numRef>
          </c:val>
          <c:smooth val="0"/>
          <c:extLst>
            <c:ext xmlns:c16="http://schemas.microsoft.com/office/drawing/2014/chart" uri="{C3380CC4-5D6E-409C-BE32-E72D297353CC}">
              <c16:uniqueId val="{00000003-0B7D-4EF8-9EF8-589D7A66F993}"/>
            </c:ext>
          </c:extLst>
        </c:ser>
        <c:ser>
          <c:idx val="5"/>
          <c:order val="4"/>
          <c:tx>
            <c:strRef>
              <c:f>'AFS Summary &amp; Charts 15yrs'!$C$40</c:f>
              <c:strCache>
                <c:ptCount val="1"/>
                <c:pt idx="0">
                  <c:v>Capital Expenditure</c:v>
                </c:pt>
              </c:strCache>
            </c:strRef>
          </c:tx>
          <c:spPr>
            <a:ln w="28575" cap="rnd">
              <a:solidFill>
                <a:srgbClr val="FF00FF"/>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15yrs'!$D$40:$R$40</c:f>
              <c:numCache>
                <c:formatCode>#,##0.00</c:formatCode>
                <c:ptCount val="15"/>
                <c:pt idx="0">
                  <c:v>4.6258809999999997</c:v>
                </c:pt>
                <c:pt idx="1">
                  <c:v>3.7836449999999999</c:v>
                </c:pt>
                <c:pt idx="2">
                  <c:v>3.6773280000000002</c:v>
                </c:pt>
                <c:pt idx="3">
                  <c:v>4.322235</c:v>
                </c:pt>
                <c:pt idx="4">
                  <c:v>7.3003530000000003</c:v>
                </c:pt>
                <c:pt idx="5">
                  <c:v>9.8188460000000006</c:v>
                </c:pt>
                <c:pt idx="6">
                  <c:v>10.028603</c:v>
                </c:pt>
                <c:pt idx="7">
                  <c:v>7.1009609999999999</c:v>
                </c:pt>
                <c:pt idx="8">
                  <c:v>6.35494</c:v>
                </c:pt>
                <c:pt idx="9">
                  <c:v>7.2736479999999997</c:v>
                </c:pt>
                <c:pt idx="10">
                  <c:v>5.7557520000000002</c:v>
                </c:pt>
                <c:pt idx="11">
                  <c:v>6.7825090000000001</c:v>
                </c:pt>
                <c:pt idx="12">
                  <c:v>6.620654</c:v>
                </c:pt>
                <c:pt idx="13">
                  <c:v>6.5451569999999997</c:v>
                </c:pt>
                <c:pt idx="14">
                  <c:v>7.6484509999999997</c:v>
                </c:pt>
              </c:numCache>
            </c:numRef>
          </c:val>
          <c:smooth val="0"/>
          <c:extLst>
            <c:ext xmlns:c16="http://schemas.microsoft.com/office/drawing/2014/chart" uri="{C3380CC4-5D6E-409C-BE32-E72D297353CC}">
              <c16:uniqueId val="{00000000-F6E6-4DFA-BA31-678127ED5ADF}"/>
            </c:ext>
          </c:extLst>
        </c:ser>
        <c:ser>
          <c:idx val="4"/>
          <c:order val="5"/>
          <c:tx>
            <c:strRef>
              <c:f>'AFS Summary &amp; Charts 15yrs'!$C$35</c:f>
              <c:strCache>
                <c:ptCount val="1"/>
                <c:pt idx="0">
                  <c:v>Debt Impairment</c:v>
                </c:pt>
              </c:strCache>
            </c:strRef>
          </c:tx>
          <c:spPr>
            <a:ln w="28575" cap="rnd">
              <a:solidFill>
                <a:srgbClr val="C00000"/>
              </a:solidFill>
              <a:prstDash val="sysDash"/>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15yrs'!$D$35:$R$35</c:f>
              <c:numCache>
                <c:formatCode>#,##0.00</c:formatCode>
                <c:ptCount val="15"/>
                <c:pt idx="0">
                  <c:v>2.0803060000000002</c:v>
                </c:pt>
                <c:pt idx="1">
                  <c:v>2.78037</c:v>
                </c:pt>
                <c:pt idx="2">
                  <c:v>2.1916370000000001</c:v>
                </c:pt>
                <c:pt idx="3">
                  <c:v>2.8796529999999998</c:v>
                </c:pt>
                <c:pt idx="4">
                  <c:v>2.977382</c:v>
                </c:pt>
                <c:pt idx="5">
                  <c:v>3.8627910000000001</c:v>
                </c:pt>
                <c:pt idx="6">
                  <c:v>2.483374</c:v>
                </c:pt>
                <c:pt idx="7">
                  <c:v>3.723735</c:v>
                </c:pt>
                <c:pt idx="8">
                  <c:v>3.3799920000000001</c:v>
                </c:pt>
                <c:pt idx="9">
                  <c:v>4.5788570000000002</c:v>
                </c:pt>
                <c:pt idx="10">
                  <c:v>6.9251180000000003</c:v>
                </c:pt>
                <c:pt idx="11">
                  <c:v>6.4047140000000002</c:v>
                </c:pt>
                <c:pt idx="12">
                  <c:v>5.8481259999999997</c:v>
                </c:pt>
                <c:pt idx="13">
                  <c:v>6.1809849999999997</c:v>
                </c:pt>
                <c:pt idx="14">
                  <c:v>8.7392610000000008</c:v>
                </c:pt>
              </c:numCache>
            </c:numRef>
          </c:val>
          <c:smooth val="0"/>
          <c:extLst>
            <c:ext xmlns:c16="http://schemas.microsoft.com/office/drawing/2014/chart" uri="{C3380CC4-5D6E-409C-BE32-E72D297353CC}">
              <c16:uniqueId val="{00000004-0B7D-4EF8-9EF8-589D7A66F993}"/>
            </c:ext>
          </c:extLst>
        </c:ser>
        <c:ser>
          <c:idx val="6"/>
          <c:order val="6"/>
          <c:tx>
            <c:strRef>
              <c:f>'AFS Summary &amp; Charts 15yrs'!$C$48</c:f>
              <c:strCache>
                <c:ptCount val="1"/>
                <c:pt idx="0">
                  <c:v>Unauthorised, Irregular, Fruitless &amp; Wasteful Expenditure</c:v>
                </c:pt>
              </c:strCache>
            </c:strRef>
          </c:tx>
          <c:spPr>
            <a:ln w="28575" cap="rnd">
              <a:solidFill>
                <a:schemeClr val="bg1">
                  <a:lumMod val="50000"/>
                </a:schemeClr>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15yrs'!$D$48:$R$48</c:f>
              <c:numCache>
                <c:formatCode>0.0</c:formatCode>
                <c:ptCount val="15"/>
                <c:pt idx="0">
                  <c:v>0.15987899999999999</c:v>
                </c:pt>
                <c:pt idx="1">
                  <c:v>0.55284100000000003</c:v>
                </c:pt>
                <c:pt idx="2">
                  <c:v>0.78315400000000002</c:v>
                </c:pt>
                <c:pt idx="3">
                  <c:v>0.22498099999999999</c:v>
                </c:pt>
                <c:pt idx="4">
                  <c:v>5.6598999999999997E-2</c:v>
                </c:pt>
                <c:pt idx="5">
                  <c:v>1.2061440000000001</c:v>
                </c:pt>
                <c:pt idx="6">
                  <c:v>0.91997200000000001</c:v>
                </c:pt>
                <c:pt idx="7">
                  <c:v>2.078173</c:v>
                </c:pt>
                <c:pt idx="8">
                  <c:v>2.1314340000000001</c:v>
                </c:pt>
                <c:pt idx="9">
                  <c:v>2.8099759999999998</c:v>
                </c:pt>
                <c:pt idx="10">
                  <c:v>3.8552580000000001</c:v>
                </c:pt>
                <c:pt idx="11">
                  <c:v>3.730791</c:v>
                </c:pt>
                <c:pt idx="12">
                  <c:v>4.9797180000000001</c:v>
                </c:pt>
                <c:pt idx="13">
                  <c:v>4.6913340000000003</c:v>
                </c:pt>
                <c:pt idx="14">
                  <c:v>11.282492</c:v>
                </c:pt>
              </c:numCache>
            </c:numRef>
          </c:val>
          <c:smooth val="0"/>
          <c:extLst>
            <c:ext xmlns:c16="http://schemas.microsoft.com/office/drawing/2014/chart" uri="{C3380CC4-5D6E-409C-BE32-E72D297353CC}">
              <c16:uniqueId val="{00000000-FC99-4D4B-889B-325012FBF468}"/>
            </c:ext>
          </c:extLst>
        </c:ser>
        <c:dLbls>
          <c:showLegendKey val="0"/>
          <c:showVal val="0"/>
          <c:showCatName val="0"/>
          <c:showSerName val="0"/>
          <c:showPercent val="0"/>
          <c:showBubbleSize val="0"/>
        </c:dLbls>
        <c:smooth val="0"/>
        <c:axId val="162099776"/>
        <c:axId val="153344512"/>
      </c:lineChart>
      <c:catAx>
        <c:axId val="162099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344512"/>
        <c:crosses val="autoZero"/>
        <c:auto val="1"/>
        <c:lblAlgn val="ctr"/>
        <c:lblOffset val="100"/>
        <c:noMultiLvlLbl val="0"/>
      </c:catAx>
      <c:valAx>
        <c:axId val="1533445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R'Bn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62099776"/>
        <c:crosses val="autoZero"/>
        <c:crossBetween val="between"/>
      </c:valAx>
      <c:spPr>
        <a:noFill/>
        <a:ln>
          <a:noFill/>
        </a:ln>
        <a:effectLst/>
      </c:spPr>
    </c:plotArea>
    <c:legend>
      <c:legendPos val="r"/>
      <c:layout>
        <c:manualLayout>
          <c:xMode val="edge"/>
          <c:yMode val="edge"/>
          <c:x val="0.76599726711462046"/>
          <c:y val="6.139108029554128E-2"/>
          <c:w val="0.23180024109914196"/>
          <c:h val="0.8311148388848245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CoJ Property</a:t>
            </a:r>
            <a:r>
              <a:rPr lang="en-GB" baseline="0"/>
              <a:t> Rates Income 2010 to 2022 </a:t>
            </a:r>
            <a:r>
              <a:rPr lang="en-GB"/>
              <a:t>(R'Bn)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8293963254593192E-2"/>
          <c:y val="0.13293906810035841"/>
          <c:w val="0.85234610980756875"/>
          <c:h val="0.69081233923066354"/>
        </c:manualLayout>
      </c:layout>
      <c:lineChart>
        <c:grouping val="standard"/>
        <c:varyColors val="0"/>
        <c:ser>
          <c:idx val="0"/>
          <c:order val="2"/>
          <c:tx>
            <c:strRef>
              <c:f>'AFS Summary &amp; Charts 15yrs'!$C$16</c:f>
              <c:strCache>
                <c:ptCount val="1"/>
                <c:pt idx="0">
                  <c:v>Property Rates Income</c:v>
                </c:pt>
              </c:strCache>
            </c:strRef>
          </c:tx>
          <c:spPr>
            <a:ln w="28575" cap="rnd">
              <a:solidFill>
                <a:srgbClr val="92D050"/>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15yrs'!$D$16:$R$16</c:f>
              <c:numCache>
                <c:formatCode>#,##0.00</c:formatCode>
                <c:ptCount val="15"/>
                <c:pt idx="0">
                  <c:v>4.050071</c:v>
                </c:pt>
                <c:pt idx="1">
                  <c:v>4.933897</c:v>
                </c:pt>
                <c:pt idx="2">
                  <c:v>5.4126139999999996</c:v>
                </c:pt>
                <c:pt idx="3">
                  <c:v>5.9763909999999996</c:v>
                </c:pt>
                <c:pt idx="4">
                  <c:v>7.2159380000000004</c:v>
                </c:pt>
                <c:pt idx="5">
                  <c:v>7.6748890000000003</c:v>
                </c:pt>
                <c:pt idx="6">
                  <c:v>8.1380590000000002</c:v>
                </c:pt>
                <c:pt idx="7">
                  <c:v>9.1105599999999995</c:v>
                </c:pt>
                <c:pt idx="8">
                  <c:v>9.1105599999999995</c:v>
                </c:pt>
                <c:pt idx="9">
                  <c:v>12.372032000000001</c:v>
                </c:pt>
                <c:pt idx="10">
                  <c:v>12.552224000000001</c:v>
                </c:pt>
                <c:pt idx="11">
                  <c:v>13.035792000000001</c:v>
                </c:pt>
                <c:pt idx="12">
                  <c:v>13.499729</c:v>
                </c:pt>
                <c:pt idx="13">
                  <c:v>14.049882</c:v>
                </c:pt>
                <c:pt idx="14">
                  <c:v>16.798945</c:v>
                </c:pt>
              </c:numCache>
            </c:numRef>
          </c:val>
          <c:smooth val="0"/>
          <c:extLst>
            <c:ext xmlns:c16="http://schemas.microsoft.com/office/drawing/2014/chart" uri="{C3380CC4-5D6E-409C-BE32-E72D297353CC}">
              <c16:uniqueId val="{00000002-9966-431F-8FF7-5DA1EF413852}"/>
            </c:ext>
          </c:extLst>
        </c:ser>
        <c:dLbls>
          <c:showLegendKey val="0"/>
          <c:showVal val="0"/>
          <c:showCatName val="0"/>
          <c:showSerName val="0"/>
          <c:showPercent val="0"/>
          <c:showBubbleSize val="0"/>
        </c:dLbls>
        <c:smooth val="0"/>
        <c:axId val="162099776"/>
        <c:axId val="153344512"/>
        <c:extLst>
          <c:ext xmlns:c15="http://schemas.microsoft.com/office/drawing/2012/chart" uri="{02D57815-91ED-43cb-92C2-25804820EDAC}">
            <c15:filteredLineSeries>
              <c15:ser>
                <c:idx val="1"/>
                <c:order val="0"/>
                <c:tx>
                  <c:strRef>
                    <c:extLst>
                      <c:ext uri="{02D57815-91ED-43cb-92C2-25804820EDAC}">
                        <c15:formulaRef>
                          <c15:sqref>'AFS Summary &amp; Charts 15yrs'!$C$11</c15:sqref>
                        </c15:formulaRef>
                      </c:ext>
                    </c:extLst>
                    <c:strCache>
                      <c:ptCount val="1"/>
                      <c:pt idx="0">
                        <c:v>Total Revenue</c:v>
                      </c:pt>
                    </c:strCache>
                  </c:strRef>
                </c:tx>
                <c:spPr>
                  <a:ln w="28575" cap="rnd">
                    <a:solidFill>
                      <a:schemeClr val="accent6">
                        <a:lumMod val="50000"/>
                      </a:schemeClr>
                    </a:solidFill>
                    <a:round/>
                  </a:ln>
                  <a:effectLst/>
                </c:spPr>
                <c:marker>
                  <c:symbol val="none"/>
                </c:marker>
                <c:cat>
                  <c:strRef>
                    <c:extLst>
                      <c:ext uri="{02D57815-91ED-43cb-92C2-25804820EDAC}">
                        <c15:formulaRef>
                          <c15:sqref>'AFS Summary &amp; Charts 15yrs'!$D$8:$R$8</c15:sqref>
                        </c15:formulaRef>
                      </c:ext>
                    </c:extLst>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extLst>
                      <c:ext uri="{02D57815-91ED-43cb-92C2-25804820EDAC}">
                        <c15:formulaRef>
                          <c15:sqref>'AFS Summary &amp; Charts 15yrs'!$D$11:$P$11</c15:sqref>
                        </c15:formulaRef>
                      </c:ext>
                    </c:extLst>
                    <c:numCache>
                      <c:formatCode>_-* #,##0.00_-;\-* #,##0.00_-;_-* "-"??_-;_-@_-</c:formatCode>
                      <c:ptCount val="13"/>
                      <c:pt idx="0">
                        <c:v>26.092141000000002</c:v>
                      </c:pt>
                      <c:pt idx="1">
                        <c:v>29.823853</c:v>
                      </c:pt>
                      <c:pt idx="2">
                        <c:v>34.240411999999999</c:v>
                      </c:pt>
                      <c:pt idx="3">
                        <c:v>34.917043999999997</c:v>
                      </c:pt>
                      <c:pt idx="4">
                        <c:v>38.426414000000001</c:v>
                      </c:pt>
                      <c:pt idx="5">
                        <c:v>41.441774000000002</c:v>
                      </c:pt>
                      <c:pt idx="6">
                        <c:v>43.838448999999997</c:v>
                      </c:pt>
                      <c:pt idx="7">
                        <c:v>45.422443999999999</c:v>
                      </c:pt>
                      <c:pt idx="8">
                        <c:v>47.482295999999998</c:v>
                      </c:pt>
                      <c:pt idx="9">
                        <c:v>55.266281999999997</c:v>
                      </c:pt>
                      <c:pt idx="10">
                        <c:v>57.983893000000002</c:v>
                      </c:pt>
                      <c:pt idx="11">
                        <c:v>61.157944999999998</c:v>
                      </c:pt>
                      <c:pt idx="12">
                        <c:v>62.621369000000001</c:v>
                      </c:pt>
                    </c:numCache>
                  </c:numRef>
                </c:val>
                <c:smooth val="0"/>
                <c:extLst>
                  <c:ext xmlns:c16="http://schemas.microsoft.com/office/drawing/2014/chart" uri="{C3380CC4-5D6E-409C-BE32-E72D297353CC}">
                    <c16:uniqueId val="{00000000-9966-431F-8FF7-5DA1EF413852}"/>
                  </c:ext>
                </c:extLst>
              </c15:ser>
            </c15:filteredLineSeries>
            <c15:filteredLineSeries>
              <c15:ser>
                <c:idx val="2"/>
                <c:order val="1"/>
                <c:tx>
                  <c:strRef>
                    <c:extLst xmlns:c15="http://schemas.microsoft.com/office/drawing/2012/chart">
                      <c:ext xmlns:c15="http://schemas.microsoft.com/office/drawing/2012/chart" uri="{02D57815-91ED-43cb-92C2-25804820EDAC}">
                        <c15:formulaRef>
                          <c15:sqref>'AFS Summary &amp; Charts 15yrs'!$C$21</c15:sqref>
                        </c15:formulaRef>
                      </c:ext>
                    </c:extLst>
                    <c:strCache>
                      <c:ptCount val="1"/>
                      <c:pt idx="0">
                        <c:v>Service Charge Income</c:v>
                      </c:pt>
                    </c:strCache>
                  </c:strRef>
                </c:tx>
                <c:spPr>
                  <a:ln w="28575" cap="rnd">
                    <a:solidFill>
                      <a:srgbClr val="00B050"/>
                    </a:solidFill>
                    <a:round/>
                  </a:ln>
                  <a:effectLst/>
                </c:spPr>
                <c:marker>
                  <c:symbol val="none"/>
                </c:marker>
                <c:cat>
                  <c:strRef>
                    <c:extLst xmlns:c15="http://schemas.microsoft.com/office/drawing/2012/chart">
                      <c:ext xmlns:c15="http://schemas.microsoft.com/office/drawing/2012/chart" uri="{02D57815-91ED-43cb-92C2-25804820EDAC}">
                        <c15:formulaRef>
                          <c15:sqref>'AFS Summary &amp; Charts 15yrs'!$D$8:$R$8</c15:sqref>
                        </c15:formulaRef>
                      </c:ext>
                    </c:extLst>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extLst xmlns:c15="http://schemas.microsoft.com/office/drawing/2012/chart">
                      <c:ext xmlns:c15="http://schemas.microsoft.com/office/drawing/2012/chart" uri="{02D57815-91ED-43cb-92C2-25804820EDAC}">
                        <c15:formulaRef>
                          <c15:sqref>'AFS Summary &amp; Charts 15yrs'!$D$21:$P$21</c15:sqref>
                        </c15:formulaRef>
                      </c:ext>
                    </c:extLst>
                    <c:numCache>
                      <c:formatCode>#,##0.00</c:formatCode>
                      <c:ptCount val="13"/>
                      <c:pt idx="0">
                        <c:v>12.477684999999999</c:v>
                      </c:pt>
                      <c:pt idx="1">
                        <c:v>15.209782000000001</c:v>
                      </c:pt>
                      <c:pt idx="2">
                        <c:v>18.135473000000001</c:v>
                      </c:pt>
                      <c:pt idx="3">
                        <c:v>19.3139</c:v>
                      </c:pt>
                      <c:pt idx="4">
                        <c:v>20.115991000000001</c:v>
                      </c:pt>
                      <c:pt idx="5">
                        <c:v>21.504935</c:v>
                      </c:pt>
                      <c:pt idx="6">
                        <c:v>23.328536</c:v>
                      </c:pt>
                      <c:pt idx="7">
                        <c:v>25.092441999999998</c:v>
                      </c:pt>
                      <c:pt idx="8">
                        <c:v>24.824006000000001</c:v>
                      </c:pt>
                      <c:pt idx="9">
                        <c:v>27.286698999999999</c:v>
                      </c:pt>
                      <c:pt idx="10">
                        <c:v>29.482299999999999</c:v>
                      </c:pt>
                      <c:pt idx="11">
                        <c:v>30.300720999999999</c:v>
                      </c:pt>
                      <c:pt idx="12">
                        <c:v>33.224868999999998</c:v>
                      </c:pt>
                    </c:numCache>
                  </c:numRef>
                </c:val>
                <c:smooth val="0"/>
                <c:extLst xmlns:c15="http://schemas.microsoft.com/office/drawing/2012/chart">
                  <c:ext xmlns:c16="http://schemas.microsoft.com/office/drawing/2014/chart" uri="{C3380CC4-5D6E-409C-BE32-E72D297353CC}">
                    <c16:uniqueId val="{00000001-9966-431F-8FF7-5DA1EF413852}"/>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'AFS Summary &amp; Charts 15yrs'!$C$28</c15:sqref>
                        </c15:formulaRef>
                      </c:ext>
                    </c:extLst>
                    <c:strCache>
                      <c:ptCount val="1"/>
                      <c:pt idx="0">
                        <c:v>Employment Costs</c:v>
                      </c:pt>
                    </c:strCache>
                  </c:strRef>
                </c:tx>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'AFS Summary &amp; Charts 15yrs'!$D$8:$R$8</c15:sqref>
                        </c15:formulaRef>
                      </c:ext>
                    </c:extLst>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extLst xmlns:c15="http://schemas.microsoft.com/office/drawing/2012/chart">
                      <c:ext xmlns:c15="http://schemas.microsoft.com/office/drawing/2012/chart" uri="{02D57815-91ED-43cb-92C2-25804820EDAC}">
                        <c15:formulaRef>
                          <c15:sqref>'AFS Summary &amp; Charts 15yrs'!$D$28:$P$28</c15:sqref>
                        </c15:formulaRef>
                      </c:ext>
                    </c:extLst>
                    <c:numCache>
                      <c:formatCode>#,##0.00</c:formatCode>
                      <c:ptCount val="13"/>
                      <c:pt idx="0">
                        <c:v>5.9259019999999998</c:v>
                      </c:pt>
                      <c:pt idx="1">
                        <c:v>6.4688239999999997</c:v>
                      </c:pt>
                      <c:pt idx="2">
                        <c:v>6.8761530000000004</c:v>
                      </c:pt>
                      <c:pt idx="3">
                        <c:v>7.4483439999999996</c:v>
                      </c:pt>
                      <c:pt idx="4">
                        <c:v>7.9425660000000002</c:v>
                      </c:pt>
                      <c:pt idx="5">
                        <c:v>8.5891059999999992</c:v>
                      </c:pt>
                      <c:pt idx="6">
                        <c:v>8.9993379999999998</c:v>
                      </c:pt>
                      <c:pt idx="7">
                        <c:v>9.8565830000000005</c:v>
                      </c:pt>
                      <c:pt idx="8">
                        <c:v>10.684521999999999</c:v>
                      </c:pt>
                      <c:pt idx="9">
                        <c:v>12.579506</c:v>
                      </c:pt>
                      <c:pt idx="10">
                        <c:v>14.360723999999999</c:v>
                      </c:pt>
                      <c:pt idx="11">
                        <c:v>15.268496000000001</c:v>
                      </c:pt>
                      <c:pt idx="12">
                        <c:v>16.127058000000002</c:v>
                      </c:pt>
                    </c:numCache>
                  </c:numRef>
                </c:val>
                <c:smooth val="0"/>
                <c:extLst xmlns:c15="http://schemas.microsoft.com/office/drawing/2012/chart">
                  <c:ext xmlns:c16="http://schemas.microsoft.com/office/drawing/2014/chart" uri="{C3380CC4-5D6E-409C-BE32-E72D297353CC}">
                    <c16:uniqueId val="{00000003-9966-431F-8FF7-5DA1EF413852}"/>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'AFS Summary &amp; Charts 15yrs'!$C$35</c15:sqref>
                        </c15:formulaRef>
                      </c:ext>
                    </c:extLst>
                    <c:strCache>
                      <c:ptCount val="1"/>
                      <c:pt idx="0">
                        <c:v>Debt Impairment</c:v>
                      </c:pt>
                    </c:strCache>
                  </c:strRef>
                </c:tx>
                <c:spPr>
                  <a:ln w="28575" cap="rnd">
                    <a:solidFill>
                      <a:schemeClr val="accent2"/>
                    </a:solidFill>
                    <a:round/>
                  </a:ln>
                  <a:effectLst/>
                </c:spPr>
                <c:marker>
                  <c:symbol val="none"/>
                </c:marker>
                <c:cat>
                  <c:strRef>
                    <c:extLst xmlns:c15="http://schemas.microsoft.com/office/drawing/2012/chart">
                      <c:ext xmlns:c15="http://schemas.microsoft.com/office/drawing/2012/chart" uri="{02D57815-91ED-43cb-92C2-25804820EDAC}">
                        <c15:formulaRef>
                          <c15:sqref>'AFS Summary &amp; Charts 15yrs'!$D$8:$R$8</c15:sqref>
                        </c15:formulaRef>
                      </c:ext>
                    </c:extLst>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extLst xmlns:c15="http://schemas.microsoft.com/office/drawing/2012/chart">
                      <c:ext xmlns:c15="http://schemas.microsoft.com/office/drawing/2012/chart" uri="{02D57815-91ED-43cb-92C2-25804820EDAC}">
                        <c15:formulaRef>
                          <c15:sqref>'AFS Summary &amp; Charts 15yrs'!$D$35:$P$35</c15:sqref>
                        </c15:formulaRef>
                      </c:ext>
                    </c:extLst>
                    <c:numCache>
                      <c:formatCode>#,##0.00</c:formatCode>
                      <c:ptCount val="13"/>
                      <c:pt idx="0">
                        <c:v>2.0803060000000002</c:v>
                      </c:pt>
                      <c:pt idx="1">
                        <c:v>2.78037</c:v>
                      </c:pt>
                      <c:pt idx="2">
                        <c:v>2.1916370000000001</c:v>
                      </c:pt>
                      <c:pt idx="3">
                        <c:v>2.8796529999999998</c:v>
                      </c:pt>
                      <c:pt idx="4">
                        <c:v>2.977382</c:v>
                      </c:pt>
                      <c:pt idx="5">
                        <c:v>3.8627910000000001</c:v>
                      </c:pt>
                      <c:pt idx="6">
                        <c:v>2.483374</c:v>
                      </c:pt>
                      <c:pt idx="7">
                        <c:v>3.723735</c:v>
                      </c:pt>
                      <c:pt idx="8">
                        <c:v>3.3799920000000001</c:v>
                      </c:pt>
                      <c:pt idx="9">
                        <c:v>4.5788570000000002</c:v>
                      </c:pt>
                      <c:pt idx="10">
                        <c:v>6.9251180000000003</c:v>
                      </c:pt>
                      <c:pt idx="11">
                        <c:v>6.4047140000000002</c:v>
                      </c:pt>
                      <c:pt idx="12">
                        <c:v>5.8481259999999997</c:v>
                      </c:pt>
                    </c:numCache>
                  </c:numRef>
                </c:val>
                <c:smooth val="0"/>
                <c:extLst xmlns:c15="http://schemas.microsoft.com/office/drawing/2012/chart">
                  <c:ext xmlns:c16="http://schemas.microsoft.com/office/drawing/2014/chart" uri="{C3380CC4-5D6E-409C-BE32-E72D297353CC}">
                    <c16:uniqueId val="{00000004-9966-431F-8FF7-5DA1EF413852}"/>
                  </c:ext>
                </c:extLst>
              </c15:ser>
            </c15:filteredLineSeries>
          </c:ext>
        </c:extLst>
      </c:lineChart>
      <c:catAx>
        <c:axId val="1620997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344512"/>
        <c:crosses val="autoZero"/>
        <c:auto val="1"/>
        <c:lblAlgn val="ctr"/>
        <c:lblOffset val="100"/>
        <c:noMultiLvlLbl val="0"/>
      </c:catAx>
      <c:valAx>
        <c:axId val="1533445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R'Bn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0997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Debt Impairment and Unauthorised, Fruitless &amp; Wasteful Expenditure Combined expressed as a Percentage of Capital Expenditure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'AFS Summary &amp; Charts 15yrs'!$C$53</c:f>
              <c:strCache>
                <c:ptCount val="1"/>
                <c:pt idx="0">
                  <c:v>Debt Impairment and Unauthorised, Fruitless &amp; Wasteful Expenditure Combined as a Factor of Capital Expenditure </c:v>
                </c:pt>
              </c:strCache>
            </c:strRef>
          </c:tx>
          <c:spPr>
            <a:solidFill>
              <a:schemeClr val="accent1"/>
            </a:solidFill>
            <a:ln>
              <a:noFill/>
            </a:ln>
            <a:effectLst/>
          </c:spPr>
          <c:invertIfNegative val="0"/>
          <c:cat>
            <c:strRef>
              <c:f>'AFS Summary &amp; Charts 15yrs'!$D$52:$R$52</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15yrs'!$D$53:$R$53</c:f>
              <c:numCache>
                <c:formatCode>0.0%</c:formatCode>
                <c:ptCount val="15"/>
                <c:pt idx="0">
                  <c:v>0.48427207703786596</c:v>
                </c:pt>
                <c:pt idx="1">
                  <c:v>0.88095236207413752</c:v>
                </c:pt>
                <c:pt idx="2">
                  <c:v>0.80895449086945737</c:v>
                </c:pt>
                <c:pt idx="3">
                  <c:v>0.7182936605714404</c:v>
                </c:pt>
                <c:pt idx="4">
                  <c:v>0.41559373909727376</c:v>
                </c:pt>
                <c:pt idx="5">
                  <c:v>0.51624549361503369</c:v>
                </c:pt>
                <c:pt idx="6">
                  <c:v>0.33936391738709765</c:v>
                </c:pt>
                <c:pt idx="7">
                  <c:v>0.81705955010878106</c:v>
                </c:pt>
                <c:pt idx="8">
                  <c:v>0.86726641006838778</c:v>
                </c:pt>
                <c:pt idx="9">
                  <c:v>1.0158359326709239</c:v>
                </c:pt>
                <c:pt idx="10">
                  <c:v>1.8729743741564959</c:v>
                </c:pt>
                <c:pt idx="11">
                  <c:v>1.4943592408060202</c:v>
                </c:pt>
                <c:pt idx="12">
                  <c:v>1.6354644118239676</c:v>
                </c:pt>
                <c:pt idx="13">
                  <c:v>1.6611242480508874</c:v>
                </c:pt>
                <c:pt idx="14">
                  <c:v>2.6177526665203192</c:v>
                </c:pt>
              </c:numCache>
            </c:numRef>
          </c:val>
          <c:extLst>
            <c:ext xmlns:c16="http://schemas.microsoft.com/office/drawing/2014/chart" uri="{C3380CC4-5D6E-409C-BE32-E72D297353CC}">
              <c16:uniqueId val="{00000000-E20F-4DBA-AAF6-CCB1B333E530}"/>
            </c:ext>
          </c:extLst>
        </c:ser>
        <c:dLbls>
          <c:showLegendKey val="0"/>
          <c:showVal val="0"/>
          <c:showCatName val="0"/>
          <c:showSerName val="0"/>
          <c:showPercent val="0"/>
          <c:showBubbleSize val="0"/>
        </c:dLbls>
        <c:gapWidth val="150"/>
        <c:axId val="1293993055"/>
        <c:axId val="1294000255"/>
      </c:barChart>
      <c:catAx>
        <c:axId val="1293993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4000255"/>
        <c:crosses val="autoZero"/>
        <c:auto val="1"/>
        <c:lblAlgn val="ctr"/>
        <c:lblOffset val="100"/>
        <c:noMultiLvlLbl val="0"/>
      </c:catAx>
      <c:valAx>
        <c:axId val="129400025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39930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Key Income &amp; Costs Compared to 2010 as % Increase Over Time (Including</a:t>
            </a:r>
            <a:r>
              <a:rPr lang="en-GB" baseline="0"/>
              <a:t> UIFWe)</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6.3292678414372777E-2"/>
          <c:y val="0.13359242317683301"/>
          <c:w val="0.6823559126384241"/>
          <c:h val="0.71590650297095293"/>
        </c:manualLayout>
      </c:layout>
      <c:lineChart>
        <c:grouping val="standard"/>
        <c:varyColors val="0"/>
        <c:ser>
          <c:idx val="1"/>
          <c:order val="0"/>
          <c:tx>
            <c:strRef>
              <c:f>'AFS Summary &amp; Charts 15yrs'!$C$11</c:f>
              <c:strCache>
                <c:ptCount val="1"/>
                <c:pt idx="0">
                  <c:v>Total Revenue</c:v>
                </c:pt>
              </c:strCache>
            </c:strRef>
          </c:tx>
          <c:spPr>
            <a:ln w="28575" cap="rnd">
              <a:solidFill>
                <a:schemeClr val="accent6">
                  <a:lumMod val="50000"/>
                </a:schemeClr>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15yrs'!$D$12:$R$12</c:f>
              <c:numCache>
                <c:formatCode>0%</c:formatCode>
                <c:ptCount val="15"/>
                <c:pt idx="0">
                  <c:v>1</c:v>
                </c:pt>
                <c:pt idx="1">
                  <c:v>1.1430205363369759</c:v>
                </c:pt>
                <c:pt idx="2">
                  <c:v>1.3122883246721684</c:v>
                </c:pt>
                <c:pt idx="3">
                  <c:v>1.3382207309089735</c:v>
                </c:pt>
                <c:pt idx="4">
                  <c:v>1.4727198507780561</c:v>
                </c:pt>
                <c:pt idx="5">
                  <c:v>1.5882856834170871</c:v>
                </c:pt>
                <c:pt idx="6">
                  <c:v>1.6801399701159057</c:v>
                </c:pt>
                <c:pt idx="7">
                  <c:v>1.7408477134934996</c:v>
                </c:pt>
                <c:pt idx="8">
                  <c:v>1.8197930173687162</c:v>
                </c:pt>
                <c:pt idx="9">
                  <c:v>2.1181198583895431</c:v>
                </c:pt>
                <c:pt idx="10">
                  <c:v>2.2222742472532246</c:v>
                </c:pt>
                <c:pt idx="11">
                  <c:v>2.3439220645021042</c:v>
                </c:pt>
                <c:pt idx="12">
                  <c:v>2.4000088379102351</c:v>
                </c:pt>
                <c:pt idx="13">
                  <c:v>2.4542986717724697</c:v>
                </c:pt>
                <c:pt idx="14">
                  <c:v>2.8360561902528425</c:v>
                </c:pt>
              </c:numCache>
            </c:numRef>
          </c:val>
          <c:smooth val="0"/>
          <c:extLst>
            <c:ext xmlns:c16="http://schemas.microsoft.com/office/drawing/2014/chart" uri="{C3380CC4-5D6E-409C-BE32-E72D297353CC}">
              <c16:uniqueId val="{00000000-355B-4C12-9240-205A97734261}"/>
            </c:ext>
          </c:extLst>
        </c:ser>
        <c:ser>
          <c:idx val="0"/>
          <c:order val="1"/>
          <c:tx>
            <c:strRef>
              <c:f>'AFS Summary &amp; Charts 15yrs'!$C$16</c:f>
              <c:strCache>
                <c:ptCount val="1"/>
                <c:pt idx="0">
                  <c:v>Property Rates Income</c:v>
                </c:pt>
              </c:strCache>
            </c:strRef>
          </c:tx>
          <c:spPr>
            <a:ln w="28575" cap="rnd">
              <a:solidFill>
                <a:srgbClr val="92D050"/>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15yrs'!$D$17:$R$17</c:f>
              <c:numCache>
                <c:formatCode>0%</c:formatCode>
                <c:ptCount val="15"/>
                <c:pt idx="0">
                  <c:v>1</c:v>
                </c:pt>
                <c:pt idx="1">
                  <c:v>1.2182248163056895</c:v>
                </c:pt>
                <c:pt idx="2">
                  <c:v>1.3364244725586292</c:v>
                </c:pt>
                <c:pt idx="3">
                  <c:v>1.4756262297623917</c:v>
                </c:pt>
                <c:pt idx="4">
                  <c:v>1.7816818519971627</c:v>
                </c:pt>
                <c:pt idx="5">
                  <c:v>1.8950010999807165</c:v>
                </c:pt>
                <c:pt idx="6">
                  <c:v>2.0093620580972531</c:v>
                </c:pt>
                <c:pt idx="7">
                  <c:v>2.2494815522987128</c:v>
                </c:pt>
                <c:pt idx="8">
                  <c:v>2.2494815522987128</c:v>
                </c:pt>
                <c:pt idx="9">
                  <c:v>3.0547691633060263</c:v>
                </c:pt>
                <c:pt idx="10">
                  <c:v>3.0992602351909389</c:v>
                </c:pt>
                <c:pt idx="11">
                  <c:v>3.2186576482239451</c:v>
                </c:pt>
                <c:pt idx="12">
                  <c:v>3.3332079857365464</c:v>
                </c:pt>
                <c:pt idx="13">
                  <c:v>3.4690458512949527</c:v>
                </c:pt>
                <c:pt idx="14">
                  <c:v>4.1478149395405657</c:v>
                </c:pt>
              </c:numCache>
            </c:numRef>
          </c:val>
          <c:smooth val="0"/>
          <c:extLst>
            <c:ext xmlns:c16="http://schemas.microsoft.com/office/drawing/2014/chart" uri="{C3380CC4-5D6E-409C-BE32-E72D297353CC}">
              <c16:uniqueId val="{00000001-355B-4C12-9240-205A97734261}"/>
            </c:ext>
          </c:extLst>
        </c:ser>
        <c:ser>
          <c:idx val="2"/>
          <c:order val="2"/>
          <c:tx>
            <c:strRef>
              <c:f>'AFS Summary &amp; Charts 15yrs'!$C$21</c:f>
              <c:strCache>
                <c:ptCount val="1"/>
                <c:pt idx="0">
                  <c:v>Service Charge Income</c:v>
                </c:pt>
              </c:strCache>
            </c:strRef>
          </c:tx>
          <c:spPr>
            <a:ln w="28575" cap="rnd">
              <a:solidFill>
                <a:srgbClr val="00B050"/>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15yrs'!$D$22:$R$22</c:f>
              <c:numCache>
                <c:formatCode>0%</c:formatCode>
                <c:ptCount val="15"/>
                <c:pt idx="0">
                  <c:v>1</c:v>
                </c:pt>
                <c:pt idx="1">
                  <c:v>1.2189586449730059</c:v>
                </c:pt>
                <c:pt idx="2">
                  <c:v>1.453432507712769</c:v>
                </c:pt>
                <c:pt idx="3">
                  <c:v>1.5478752669265174</c:v>
                </c:pt>
                <c:pt idx="4">
                  <c:v>1.6121573032177043</c:v>
                </c:pt>
                <c:pt idx="5">
                  <c:v>1.7234715413956996</c:v>
                </c:pt>
                <c:pt idx="6">
                  <c:v>1.8696205265640222</c:v>
                </c:pt>
                <c:pt idx="7">
                  <c:v>2.0109853710844598</c:v>
                </c:pt>
                <c:pt idx="8">
                  <c:v>1.9894720855671546</c:v>
                </c:pt>
                <c:pt idx="9">
                  <c:v>2.1868398665297288</c:v>
                </c:pt>
                <c:pt idx="10">
                  <c:v>2.3628020742629743</c:v>
                </c:pt>
                <c:pt idx="11">
                  <c:v>2.4283928469103042</c:v>
                </c:pt>
                <c:pt idx="12">
                  <c:v>2.6627430488908801</c:v>
                </c:pt>
                <c:pt idx="13">
                  <c:v>2.6185896662722294</c:v>
                </c:pt>
                <c:pt idx="14">
                  <c:v>3.0403440221483398</c:v>
                </c:pt>
              </c:numCache>
            </c:numRef>
          </c:val>
          <c:smooth val="0"/>
          <c:extLst>
            <c:ext xmlns:c16="http://schemas.microsoft.com/office/drawing/2014/chart" uri="{C3380CC4-5D6E-409C-BE32-E72D297353CC}">
              <c16:uniqueId val="{00000002-355B-4C12-9240-205A97734261}"/>
            </c:ext>
          </c:extLst>
        </c:ser>
        <c:ser>
          <c:idx val="3"/>
          <c:order val="3"/>
          <c:tx>
            <c:strRef>
              <c:f>'AFS Summary &amp; Charts 15yrs'!$C$28</c:f>
              <c:strCache>
                <c:ptCount val="1"/>
                <c:pt idx="0">
                  <c:v>Employment Costs</c:v>
                </c:pt>
              </c:strCache>
            </c:strRef>
          </c:tx>
          <c:spPr>
            <a:ln w="28575" cap="rnd">
              <a:solidFill>
                <a:schemeClr val="accent4"/>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15yrs'!$D$29:$R$29</c:f>
              <c:numCache>
                <c:formatCode>0%</c:formatCode>
                <c:ptCount val="15"/>
                <c:pt idx="0">
                  <c:v>1</c:v>
                </c:pt>
                <c:pt idx="1">
                  <c:v>1.0916184574095218</c:v>
                </c:pt>
                <c:pt idx="2">
                  <c:v>1.1603555036853463</c:v>
                </c:pt>
                <c:pt idx="3">
                  <c:v>1.2569131247867413</c:v>
                </c:pt>
                <c:pt idx="4">
                  <c:v>1.3403134240154495</c:v>
                </c:pt>
                <c:pt idx="5">
                  <c:v>1.4494174895231138</c:v>
                </c:pt>
                <c:pt idx="6">
                  <c:v>1.5186444190268418</c:v>
                </c:pt>
                <c:pt idx="7">
                  <c:v>1.6633050968443286</c:v>
                </c:pt>
                <c:pt idx="8">
                  <c:v>1.8030203671947325</c:v>
                </c:pt>
                <c:pt idx="9">
                  <c:v>2.1228002083058413</c:v>
                </c:pt>
                <c:pt idx="10">
                  <c:v>2.4233819594046611</c:v>
                </c:pt>
                <c:pt idx="11">
                  <c:v>2.5765691028977531</c:v>
                </c:pt>
                <c:pt idx="12">
                  <c:v>2.7214520253625527</c:v>
                </c:pt>
                <c:pt idx="13">
                  <c:v>2.9723505383652991</c:v>
                </c:pt>
                <c:pt idx="14">
                  <c:v>3.2676476931275609</c:v>
                </c:pt>
              </c:numCache>
            </c:numRef>
          </c:val>
          <c:smooth val="0"/>
          <c:extLst>
            <c:ext xmlns:c16="http://schemas.microsoft.com/office/drawing/2014/chart" uri="{C3380CC4-5D6E-409C-BE32-E72D297353CC}">
              <c16:uniqueId val="{00000003-355B-4C12-9240-205A97734261}"/>
            </c:ext>
          </c:extLst>
        </c:ser>
        <c:ser>
          <c:idx val="5"/>
          <c:order val="4"/>
          <c:tx>
            <c:strRef>
              <c:f>'AFS Summary &amp; Charts 15yrs'!$C$40</c:f>
              <c:strCache>
                <c:ptCount val="1"/>
                <c:pt idx="0">
                  <c:v>Capital Expenditure</c:v>
                </c:pt>
              </c:strCache>
            </c:strRef>
          </c:tx>
          <c:spPr>
            <a:ln w="28575" cap="rnd">
              <a:solidFill>
                <a:srgbClr val="FF00FF"/>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15yrs'!$D$41:$R$41</c:f>
              <c:numCache>
                <c:formatCode>0%</c:formatCode>
                <c:ptCount val="15"/>
                <c:pt idx="0">
                  <c:v>1</c:v>
                </c:pt>
                <c:pt idx="1">
                  <c:v>0.81792960086954247</c:v>
                </c:pt>
                <c:pt idx="2">
                  <c:v>0.79494651937652538</c:v>
                </c:pt>
                <c:pt idx="3">
                  <c:v>0.93435931447436726</c:v>
                </c:pt>
                <c:pt idx="4">
                  <c:v>1.5781540856757883</c:v>
                </c:pt>
                <c:pt idx="5">
                  <c:v>2.1225894051316931</c:v>
                </c:pt>
                <c:pt idx="6">
                  <c:v>2.1679336325339977</c:v>
                </c:pt>
                <c:pt idx="7">
                  <c:v>1.5350505125402059</c:v>
                </c:pt>
                <c:pt idx="8">
                  <c:v>1.3737793946709829</c:v>
                </c:pt>
                <c:pt idx="9">
                  <c:v>1.5723811312915312</c:v>
                </c:pt>
                <c:pt idx="10">
                  <c:v>1.24424990612599</c:v>
                </c:pt>
                <c:pt idx="11">
                  <c:v>1.466209139405013</c:v>
                </c:pt>
                <c:pt idx="12">
                  <c:v>1.431220128663059</c:v>
                </c:pt>
                <c:pt idx="13">
                  <c:v>1.4148995618348159</c:v>
                </c:pt>
                <c:pt idx="14">
                  <c:v>1.6534041839813864</c:v>
                </c:pt>
              </c:numCache>
            </c:numRef>
          </c:val>
          <c:smooth val="0"/>
          <c:extLst>
            <c:ext xmlns:c16="http://schemas.microsoft.com/office/drawing/2014/chart" uri="{C3380CC4-5D6E-409C-BE32-E72D297353CC}">
              <c16:uniqueId val="{00000004-355B-4C12-9240-205A97734261}"/>
            </c:ext>
          </c:extLst>
        </c:ser>
        <c:ser>
          <c:idx val="4"/>
          <c:order val="5"/>
          <c:tx>
            <c:strRef>
              <c:f>'AFS Summary &amp; Charts 15yrs'!$C$35</c:f>
              <c:strCache>
                <c:ptCount val="1"/>
                <c:pt idx="0">
                  <c:v>Debt Impairment</c:v>
                </c:pt>
              </c:strCache>
            </c:strRef>
          </c:tx>
          <c:spPr>
            <a:ln w="28575" cap="rnd">
              <a:solidFill>
                <a:srgbClr val="C00000"/>
              </a:solidFill>
              <a:prstDash val="sysDash"/>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strRef>
          </c:cat>
          <c:val>
            <c:numRef>
              <c:f>'AFS Summary &amp; Charts 15yrs'!$D$36:$R$36</c:f>
              <c:numCache>
                <c:formatCode>0%</c:formatCode>
                <c:ptCount val="15"/>
                <c:pt idx="0">
                  <c:v>1</c:v>
                </c:pt>
                <c:pt idx="1">
                  <c:v>1.3365197235406714</c:v>
                </c:pt>
                <c:pt idx="2">
                  <c:v>1.0535166461087935</c:v>
                </c:pt>
                <c:pt idx="3">
                  <c:v>1.3842449139693869</c:v>
                </c:pt>
                <c:pt idx="4">
                  <c:v>1.4312230989094872</c:v>
                </c:pt>
                <c:pt idx="5">
                  <c:v>1.8568378882722059</c:v>
                </c:pt>
                <c:pt idx="6">
                  <c:v>1.1937541880857911</c:v>
                </c:pt>
                <c:pt idx="7">
                  <c:v>1.789993875900949</c:v>
                </c:pt>
                <c:pt idx="8">
                  <c:v>1.6247571270764973</c:v>
                </c:pt>
                <c:pt idx="9">
                  <c:v>2.2010497494118653</c:v>
                </c:pt>
                <c:pt idx="10">
                  <c:v>3.3288939223364253</c:v>
                </c:pt>
                <c:pt idx="11">
                  <c:v>3.0787364935735413</c:v>
                </c:pt>
                <c:pt idx="12">
                  <c:v>2.811185469829919</c:v>
                </c:pt>
                <c:pt idx="13">
                  <c:v>2.9711902960429857</c:v>
                </c:pt>
                <c:pt idx="14">
                  <c:v>4.2009497641212397</c:v>
                </c:pt>
              </c:numCache>
            </c:numRef>
          </c:val>
          <c:smooth val="0"/>
          <c:extLst>
            <c:ext xmlns:c16="http://schemas.microsoft.com/office/drawing/2014/chart" uri="{C3380CC4-5D6E-409C-BE32-E72D297353CC}">
              <c16:uniqueId val="{00000005-355B-4C12-9240-205A97734261}"/>
            </c:ext>
          </c:extLst>
        </c:ser>
        <c:ser>
          <c:idx val="6"/>
          <c:order val="6"/>
          <c:tx>
            <c:strRef>
              <c:f>'AFS Summary &amp; Charts 15yrs'!$C$48</c:f>
              <c:strCache>
                <c:ptCount val="1"/>
                <c:pt idx="0">
                  <c:v>Unauthorised, Irregular, Fruitless &amp; Wasteful Expenditure</c:v>
                </c:pt>
              </c:strCache>
              <c:extLst xmlns:c15="http://schemas.microsoft.com/office/drawing/2012/chart"/>
            </c:strRef>
          </c:tx>
          <c:spPr>
            <a:ln w="28575" cap="rnd">
              <a:solidFill>
                <a:schemeClr val="bg1">
                  <a:lumMod val="50000"/>
                </a:schemeClr>
              </a:solidFill>
              <a:round/>
            </a:ln>
            <a:effectLst/>
          </c:spPr>
          <c:marker>
            <c:symbol val="none"/>
          </c:marker>
          <c:cat>
            <c:strRef>
              <c:f>'AFS Summary &amp; Charts 15yrs'!$D$8:$R$8</c:f>
              <c:strCache>
                <c:ptCount val="15"/>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strCache>
              <c:extLst xmlns:c15="http://schemas.microsoft.com/office/drawing/2012/chart"/>
            </c:strRef>
          </c:cat>
          <c:val>
            <c:numRef>
              <c:f>'AFS Summary &amp; Charts 15yrs'!$D$49:$R$49</c:f>
              <c:numCache>
                <c:formatCode>0%</c:formatCode>
                <c:ptCount val="15"/>
                <c:pt idx="1">
                  <c:v>3.4578712651442656</c:v>
                </c:pt>
                <c:pt idx="2">
                  <c:v>4.8984169278016507</c:v>
                </c:pt>
                <c:pt idx="3">
                  <c:v>1.4071954415526742</c:v>
                </c:pt>
                <c:pt idx="4">
                  <c:v>0.35401147117507614</c:v>
                </c:pt>
                <c:pt idx="5">
                  <c:v>7.5441052295798707</c:v>
                </c:pt>
                <c:pt idx="6">
                  <c:v>5.7541765960507636</c:v>
                </c:pt>
                <c:pt idx="7">
                  <c:v>12.998411298544525</c:v>
                </c:pt>
                <c:pt idx="8">
                  <c:v>13.331544480513388</c:v>
                </c:pt>
                <c:pt idx="9">
                  <c:v>17.575641578944076</c:v>
                </c:pt>
                <c:pt idx="10">
                  <c:v>24.113598408796655</c:v>
                </c:pt>
                <c:pt idx="11">
                  <c:v>23.335090912502579</c:v>
                </c:pt>
                <c:pt idx="12">
                  <c:v>31.146792261647875</c:v>
                </c:pt>
                <c:pt idx="13">
                  <c:v>29.343028165049823</c:v>
                </c:pt>
                <c:pt idx="14">
                  <c:v>70.568942762964497</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6-355B-4C12-9240-205A97734261}"/>
            </c:ext>
          </c:extLst>
        </c:ser>
        <c:dLbls>
          <c:showLegendKey val="0"/>
          <c:showVal val="0"/>
          <c:showCatName val="0"/>
          <c:showSerName val="0"/>
          <c:showPercent val="0"/>
          <c:showBubbleSize val="0"/>
        </c:dLbls>
        <c:smooth val="0"/>
        <c:axId val="162099776"/>
        <c:axId val="153344512"/>
        <c:extLst/>
      </c:lineChart>
      <c:catAx>
        <c:axId val="162099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344512"/>
        <c:crosses val="autoZero"/>
        <c:auto val="1"/>
        <c:lblAlgn val="ctr"/>
        <c:lblOffset val="100"/>
        <c:noMultiLvlLbl val="0"/>
      </c:catAx>
      <c:valAx>
        <c:axId val="153344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099776"/>
        <c:crosses val="autoZero"/>
        <c:crossBetween val="between"/>
      </c:valAx>
      <c:spPr>
        <a:noFill/>
        <a:ln>
          <a:noFill/>
        </a:ln>
        <a:effectLst/>
      </c:spPr>
    </c:plotArea>
    <c:legend>
      <c:legendPos val="r"/>
      <c:layout>
        <c:manualLayout>
          <c:xMode val="edge"/>
          <c:yMode val="edge"/>
          <c:x val="0.76109518800899156"/>
          <c:y val="0.19715409051629154"/>
          <c:w val="0.2297356080499835"/>
          <c:h val="0.699663894193177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Revenue v Selected Costs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0017313388525662"/>
          <c:y val="0.1685909090909091"/>
          <c:w val="0.56024546417558985"/>
          <c:h val="0.7259624194702935"/>
        </c:manualLayout>
      </c:layout>
      <c:lineChart>
        <c:grouping val="standard"/>
        <c:varyColors val="0"/>
        <c:ser>
          <c:idx val="0"/>
          <c:order val="0"/>
          <c:tx>
            <c:strRef>
              <c:f>'Tables &amp; Charts 7yrs'!$C$10</c:f>
              <c:strCache>
                <c:ptCount val="1"/>
                <c:pt idx="0">
                  <c:v>Revenue</c:v>
                </c:pt>
              </c:strCache>
            </c:strRef>
          </c:tx>
          <c:spPr>
            <a:ln w="28575" cap="rnd">
              <a:solidFill>
                <a:srgbClr val="00B050"/>
              </a:solidFill>
              <a:round/>
            </a:ln>
            <a:effectLst/>
          </c:spPr>
          <c:marker>
            <c:symbol val="none"/>
          </c:marker>
          <c:cat>
            <c:strRef>
              <c:extLst>
                <c:ext xmlns:c15="http://schemas.microsoft.com/office/drawing/2012/chart" uri="{02D57815-91ED-43cb-92C2-25804820EDAC}">
                  <c15:fullRef>
                    <c15:sqref>'Tables &amp; Charts 7yrs'!$D$9:$L$9</c15:sqref>
                  </c15:fullRef>
                </c:ext>
              </c:extLst>
              <c:f>'Tables &amp; Charts 7yrs'!$F$9:$L$9</c:f>
              <c:strCache>
                <c:ptCount val="7"/>
                <c:pt idx="0">
                  <c:v>2017/18</c:v>
                </c:pt>
                <c:pt idx="1">
                  <c:v>2018/19</c:v>
                </c:pt>
                <c:pt idx="2">
                  <c:v>2019/20</c:v>
                </c:pt>
                <c:pt idx="3">
                  <c:v>2020/21</c:v>
                </c:pt>
                <c:pt idx="4">
                  <c:v>2021/22</c:v>
                </c:pt>
                <c:pt idx="5">
                  <c:v>2022/23</c:v>
                </c:pt>
                <c:pt idx="6">
                  <c:v>2023/24</c:v>
                </c:pt>
              </c:strCache>
            </c:strRef>
          </c:cat>
          <c:val>
            <c:numRef>
              <c:extLst>
                <c:ext xmlns:c15="http://schemas.microsoft.com/office/drawing/2012/chart" uri="{02D57815-91ED-43cb-92C2-25804820EDAC}">
                  <c15:fullRef>
                    <c15:sqref>'Tables &amp; Charts 7yrs'!$D$10:$L$10</c15:sqref>
                  </c15:fullRef>
                </c:ext>
              </c:extLst>
              <c:f>'Tables &amp; Charts 7yrs'!$F$10:$L$10</c:f>
              <c:numCache>
                <c:formatCode>_-* #,##0_-;\-* #,##0_-;_-* "-"??_-;_-@_-</c:formatCode>
                <c:ptCount val="7"/>
                <c:pt idx="0">
                  <c:v>50.532519000000001</c:v>
                </c:pt>
                <c:pt idx="1">
                  <c:v>61.319197000000003</c:v>
                </c:pt>
                <c:pt idx="2">
                  <c:v>63.351554</c:v>
                </c:pt>
                <c:pt idx="3">
                  <c:v>68.276393999999996</c:v>
                </c:pt>
                <c:pt idx="4">
                  <c:v>61.268810999999999</c:v>
                </c:pt>
                <c:pt idx="5">
                  <c:v>64.307796999999994</c:v>
                </c:pt>
                <c:pt idx="6">
                  <c:v>73.998778000000001</c:v>
                </c:pt>
              </c:numCache>
            </c:numRef>
          </c:val>
          <c:smooth val="0"/>
          <c:extLst>
            <c:ext xmlns:c16="http://schemas.microsoft.com/office/drawing/2014/chart" uri="{C3380CC4-5D6E-409C-BE32-E72D297353CC}">
              <c16:uniqueId val="{00000000-39E0-4764-8856-6CF088A3534E}"/>
            </c:ext>
          </c:extLst>
        </c:ser>
        <c:ser>
          <c:idx val="3"/>
          <c:order val="1"/>
          <c:tx>
            <c:strRef>
              <c:f>'Tables &amp; Charts 7yrs'!$C$13</c:f>
              <c:strCache>
                <c:ptCount val="1"/>
                <c:pt idx="0">
                  <c:v>Materials &amp; Bulk Purchases</c:v>
                </c:pt>
              </c:strCache>
            </c:strRef>
          </c:tx>
          <c:spPr>
            <a:ln w="28575" cap="rnd">
              <a:solidFill>
                <a:schemeClr val="accent4"/>
              </a:solidFill>
              <a:round/>
            </a:ln>
            <a:effectLst/>
          </c:spPr>
          <c:marker>
            <c:symbol val="none"/>
          </c:marker>
          <c:cat>
            <c:strRef>
              <c:extLst>
                <c:ext xmlns:c15="http://schemas.microsoft.com/office/drawing/2012/chart" uri="{02D57815-91ED-43cb-92C2-25804820EDAC}">
                  <c15:fullRef>
                    <c15:sqref>'Tables &amp; Charts 7yrs'!$D$9:$L$9</c15:sqref>
                  </c15:fullRef>
                </c:ext>
              </c:extLst>
              <c:f>'Tables &amp; Charts 7yrs'!$F$9:$L$9</c:f>
              <c:strCache>
                <c:ptCount val="7"/>
                <c:pt idx="0">
                  <c:v>2017/18</c:v>
                </c:pt>
                <c:pt idx="1">
                  <c:v>2018/19</c:v>
                </c:pt>
                <c:pt idx="2">
                  <c:v>2019/20</c:v>
                </c:pt>
                <c:pt idx="3">
                  <c:v>2020/21</c:v>
                </c:pt>
                <c:pt idx="4">
                  <c:v>2021/22</c:v>
                </c:pt>
                <c:pt idx="5">
                  <c:v>2022/23</c:v>
                </c:pt>
                <c:pt idx="6">
                  <c:v>2023/24</c:v>
                </c:pt>
              </c:strCache>
            </c:strRef>
          </c:cat>
          <c:val>
            <c:numRef>
              <c:extLst>
                <c:ext xmlns:c15="http://schemas.microsoft.com/office/drawing/2012/chart" uri="{02D57815-91ED-43cb-92C2-25804820EDAC}">
                  <c15:fullRef>
                    <c15:sqref>'Tables &amp; Charts 7yrs'!$D$13:$L$13</c15:sqref>
                  </c15:fullRef>
                </c:ext>
              </c:extLst>
              <c:f>'Tables &amp; Charts 7yrs'!$F$13:$L$13</c:f>
              <c:numCache>
                <c:formatCode>_-* #,##0_-;\-* #,##0_-;_-* "-"??_-;_-@_-</c:formatCode>
                <c:ptCount val="7"/>
                <c:pt idx="0">
                  <c:v>16.719787</c:v>
                </c:pt>
                <c:pt idx="1">
                  <c:v>16.810804999999998</c:v>
                </c:pt>
                <c:pt idx="2">
                  <c:v>18.065918</c:v>
                </c:pt>
                <c:pt idx="3">
                  <c:v>18.665655999999998</c:v>
                </c:pt>
                <c:pt idx="4">
                  <c:v>20.949269000000001</c:v>
                </c:pt>
                <c:pt idx="5">
                  <c:v>21.564468000000002</c:v>
                </c:pt>
                <c:pt idx="6">
                  <c:v>25.161992000000001</c:v>
                </c:pt>
              </c:numCache>
            </c:numRef>
          </c:val>
          <c:smooth val="0"/>
          <c:extLst>
            <c:ext xmlns:c16="http://schemas.microsoft.com/office/drawing/2014/chart" uri="{C3380CC4-5D6E-409C-BE32-E72D297353CC}">
              <c16:uniqueId val="{00000003-39E0-4764-8856-6CF088A3534E}"/>
            </c:ext>
          </c:extLst>
        </c:ser>
        <c:ser>
          <c:idx val="1"/>
          <c:order val="2"/>
          <c:tx>
            <c:strRef>
              <c:f>'Tables &amp; Charts 7yrs'!$C$11</c:f>
              <c:strCache>
                <c:ptCount val="1"/>
                <c:pt idx="0">
                  <c:v>Employment Costs</c:v>
                </c:pt>
              </c:strCache>
            </c:strRef>
          </c:tx>
          <c:spPr>
            <a:ln w="28575" cap="rnd">
              <a:solidFill>
                <a:schemeClr val="accent1"/>
              </a:solidFill>
              <a:round/>
            </a:ln>
            <a:effectLst/>
          </c:spPr>
          <c:marker>
            <c:symbol val="none"/>
          </c:marker>
          <c:cat>
            <c:strRef>
              <c:extLst>
                <c:ext xmlns:c15="http://schemas.microsoft.com/office/drawing/2012/chart" uri="{02D57815-91ED-43cb-92C2-25804820EDAC}">
                  <c15:fullRef>
                    <c15:sqref>'Tables &amp; Charts 7yrs'!$D$9:$L$9</c15:sqref>
                  </c15:fullRef>
                </c:ext>
              </c:extLst>
              <c:f>'Tables &amp; Charts 7yrs'!$F$9:$L$9</c:f>
              <c:strCache>
                <c:ptCount val="7"/>
                <c:pt idx="0">
                  <c:v>2017/18</c:v>
                </c:pt>
                <c:pt idx="1">
                  <c:v>2018/19</c:v>
                </c:pt>
                <c:pt idx="2">
                  <c:v>2019/20</c:v>
                </c:pt>
                <c:pt idx="3">
                  <c:v>2020/21</c:v>
                </c:pt>
                <c:pt idx="4">
                  <c:v>2021/22</c:v>
                </c:pt>
                <c:pt idx="5">
                  <c:v>2022/23</c:v>
                </c:pt>
                <c:pt idx="6">
                  <c:v>2023/24</c:v>
                </c:pt>
              </c:strCache>
            </c:strRef>
          </c:cat>
          <c:val>
            <c:numRef>
              <c:extLst>
                <c:ext xmlns:c15="http://schemas.microsoft.com/office/drawing/2012/chart" uri="{02D57815-91ED-43cb-92C2-25804820EDAC}">
                  <c15:fullRef>
                    <c15:sqref>'Tables &amp; Charts 7yrs'!$D$11:$L$11</c15:sqref>
                  </c15:fullRef>
                </c:ext>
              </c:extLst>
              <c:f>'Tables &amp; Charts 7yrs'!$F$11:$L$11</c:f>
              <c:numCache>
                <c:formatCode>_-* #,##0_-;\-* #,##0_-;_-* "-"??_-;_-@_-</c:formatCode>
                <c:ptCount val="7"/>
                <c:pt idx="0">
                  <c:v>11.631360000000001</c:v>
                </c:pt>
                <c:pt idx="1">
                  <c:v>13.55528</c:v>
                </c:pt>
                <c:pt idx="2">
                  <c:v>14.852302999999999</c:v>
                </c:pt>
                <c:pt idx="3">
                  <c:v>15.844916</c:v>
                </c:pt>
                <c:pt idx="4">
                  <c:v>15.756481000000001</c:v>
                </c:pt>
                <c:pt idx="5">
                  <c:v>17.613658000000001</c:v>
                </c:pt>
                <c:pt idx="6">
                  <c:v>19.363759999999999</c:v>
                </c:pt>
              </c:numCache>
            </c:numRef>
          </c:val>
          <c:smooth val="0"/>
          <c:extLst>
            <c:ext xmlns:c16="http://schemas.microsoft.com/office/drawing/2014/chart" uri="{C3380CC4-5D6E-409C-BE32-E72D297353CC}">
              <c16:uniqueId val="{00000001-39E0-4764-8856-6CF088A3534E}"/>
            </c:ext>
          </c:extLst>
        </c:ser>
        <c:ser>
          <c:idx val="2"/>
          <c:order val="3"/>
          <c:tx>
            <c:strRef>
              <c:f>'Tables &amp; Charts 7yrs'!$C$12</c:f>
              <c:strCache>
                <c:ptCount val="1"/>
                <c:pt idx="0">
                  <c:v>Capital Expenditure</c:v>
                </c:pt>
              </c:strCache>
            </c:strRef>
          </c:tx>
          <c:spPr>
            <a:ln w="28575" cap="rnd">
              <a:solidFill>
                <a:srgbClr val="FF00FF"/>
              </a:solidFill>
              <a:round/>
            </a:ln>
            <a:effectLst/>
          </c:spPr>
          <c:marker>
            <c:symbol val="none"/>
          </c:marker>
          <c:cat>
            <c:strRef>
              <c:extLst>
                <c:ext xmlns:c15="http://schemas.microsoft.com/office/drawing/2012/chart" uri="{02D57815-91ED-43cb-92C2-25804820EDAC}">
                  <c15:fullRef>
                    <c15:sqref>'Tables &amp; Charts 7yrs'!$D$9:$L$9</c15:sqref>
                  </c15:fullRef>
                </c:ext>
              </c:extLst>
              <c:f>'Tables &amp; Charts 7yrs'!$F$9:$L$9</c:f>
              <c:strCache>
                <c:ptCount val="7"/>
                <c:pt idx="0">
                  <c:v>2017/18</c:v>
                </c:pt>
                <c:pt idx="1">
                  <c:v>2018/19</c:v>
                </c:pt>
                <c:pt idx="2">
                  <c:v>2019/20</c:v>
                </c:pt>
                <c:pt idx="3">
                  <c:v>2020/21</c:v>
                </c:pt>
                <c:pt idx="4">
                  <c:v>2021/22</c:v>
                </c:pt>
                <c:pt idx="5">
                  <c:v>2022/23</c:v>
                </c:pt>
                <c:pt idx="6">
                  <c:v>2023/24</c:v>
                </c:pt>
              </c:strCache>
            </c:strRef>
          </c:cat>
          <c:val>
            <c:numRef>
              <c:extLst>
                <c:ext xmlns:c15="http://schemas.microsoft.com/office/drawing/2012/chart" uri="{02D57815-91ED-43cb-92C2-25804820EDAC}">
                  <c15:fullRef>
                    <c15:sqref>'Tables &amp; Charts 7yrs'!$D$12:$L$12</c15:sqref>
                  </c15:fullRef>
                </c:ext>
              </c:extLst>
              <c:f>'Tables &amp; Charts 7yrs'!$F$12:$L$12</c:f>
              <c:numCache>
                <c:formatCode>_-* #,##0_-;\-* #,##0_-;_-* "-"??_-;_-@_-</c:formatCode>
                <c:ptCount val="7"/>
                <c:pt idx="0">
                  <c:v>5.0968850000000003</c:v>
                </c:pt>
                <c:pt idx="1">
                  <c:v>0.24418200000000001</c:v>
                </c:pt>
                <c:pt idx="2">
                  <c:v>5.7842310000000001</c:v>
                </c:pt>
                <c:pt idx="3">
                  <c:v>6.0984400000000001</c:v>
                </c:pt>
                <c:pt idx="4">
                  <c:v>6.6459020000000004</c:v>
                </c:pt>
                <c:pt idx="5">
                  <c:v>6.5451569999999997</c:v>
                </c:pt>
                <c:pt idx="6">
                  <c:v>7.6484509999999997</c:v>
                </c:pt>
              </c:numCache>
            </c:numRef>
          </c:val>
          <c:smooth val="0"/>
          <c:extLst>
            <c:ext xmlns:c16="http://schemas.microsoft.com/office/drawing/2014/chart" uri="{C3380CC4-5D6E-409C-BE32-E72D297353CC}">
              <c16:uniqueId val="{00000002-39E0-4764-8856-6CF088A3534E}"/>
            </c:ext>
          </c:extLst>
        </c:ser>
        <c:ser>
          <c:idx val="4"/>
          <c:order val="4"/>
          <c:tx>
            <c:strRef>
              <c:f>'Tables &amp; Charts 7yrs'!$C$21</c:f>
              <c:strCache>
                <c:ptCount val="1"/>
                <c:pt idx="0">
                  <c:v>Unauthorised, Irregular, Fruitless &amp; Wasteful Expenditure</c:v>
                </c:pt>
              </c:strCache>
            </c:strRef>
          </c:tx>
          <c:spPr>
            <a:ln w="28575" cap="rnd">
              <a:solidFill>
                <a:schemeClr val="bg1">
                  <a:lumMod val="50000"/>
                </a:schemeClr>
              </a:solidFill>
              <a:round/>
            </a:ln>
            <a:effectLst/>
          </c:spPr>
          <c:marker>
            <c:symbol val="none"/>
          </c:marker>
          <c:dPt>
            <c:idx val="6"/>
            <c:marker>
              <c:symbol val="none"/>
            </c:marker>
            <c:bubble3D val="0"/>
            <c:extLst>
              <c:ext xmlns:c16="http://schemas.microsoft.com/office/drawing/2014/chart" uri="{C3380CC4-5D6E-409C-BE32-E72D297353CC}">
                <c16:uniqueId val="{00000000-ED6B-4FF4-9D3A-2ACA68276A91}"/>
              </c:ext>
            </c:extLst>
          </c:dPt>
          <c:cat>
            <c:strLit>
              <c:ptCount val="7"/>
              <c:pt idx="0">
                <c:v>2017/18</c:v>
              </c:pt>
              <c:pt idx="1">
                <c:v>2018/19</c:v>
              </c:pt>
              <c:pt idx="2">
                <c:v>2019/20</c:v>
              </c:pt>
              <c:pt idx="3">
                <c:v>2020/21</c:v>
              </c:pt>
              <c:pt idx="4">
                <c:v>2021/22</c:v>
              </c:pt>
              <c:pt idx="5">
                <c:v>2022/23</c:v>
              </c:pt>
              <c:pt idx="6">
                <c:v>2023/24</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'Tables &amp; Charts 7yrs'!$D$21:$L$21</c15:sqref>
                  </c15:fullRef>
                </c:ext>
              </c:extLst>
              <c:f>'Tables &amp; Charts 7yrs'!$F$21:$L$21</c:f>
              <c:numCache>
                <c:formatCode>_-* #,##0_-;\-* #,##0_-;_-* "-"??_-;_-@_-</c:formatCode>
                <c:ptCount val="7"/>
                <c:pt idx="0">
                  <c:v>2.1314340000000001</c:v>
                </c:pt>
                <c:pt idx="1">
                  <c:v>2.8099759999999998</c:v>
                </c:pt>
                <c:pt idx="2">
                  <c:v>3.8552579999999996</c:v>
                </c:pt>
                <c:pt idx="3">
                  <c:v>4.1183510000000005</c:v>
                </c:pt>
                <c:pt idx="4">
                  <c:v>4.9805229999999998</c:v>
                </c:pt>
                <c:pt idx="5">
                  <c:v>6.3994829999999991</c:v>
                </c:pt>
                <c:pt idx="6">
                  <c:v>12.808615</c:v>
                </c:pt>
              </c:numCache>
            </c:numRef>
          </c:val>
          <c:smooth val="0"/>
          <c:extLst>
            <c:ext xmlns:c16="http://schemas.microsoft.com/office/drawing/2014/chart" uri="{C3380CC4-5D6E-409C-BE32-E72D297353CC}">
              <c16:uniqueId val="{00000005-39E0-4764-8856-6CF088A3534E}"/>
            </c:ext>
          </c:extLst>
        </c:ser>
        <c:dLbls>
          <c:showLegendKey val="0"/>
          <c:showVal val="0"/>
          <c:showCatName val="0"/>
          <c:showSerName val="0"/>
          <c:showPercent val="0"/>
          <c:showBubbleSize val="0"/>
        </c:dLbls>
        <c:smooth val="0"/>
        <c:axId val="1849500720"/>
        <c:axId val="2066174784"/>
      </c:lineChart>
      <c:catAx>
        <c:axId val="1849500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6174784"/>
        <c:crosses val="autoZero"/>
        <c:auto val="1"/>
        <c:lblAlgn val="ctr"/>
        <c:lblOffset val="100"/>
        <c:noMultiLvlLbl val="0"/>
      </c:catAx>
      <c:valAx>
        <c:axId val="2066174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R Billion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9500720"/>
        <c:crosses val="autoZero"/>
        <c:crossBetween val="between"/>
      </c:valAx>
      <c:spPr>
        <a:noFill/>
        <a:ln>
          <a:noFill/>
        </a:ln>
        <a:effectLst/>
      </c:spPr>
    </c:plotArea>
    <c:legend>
      <c:legendPos val="r"/>
      <c:layout>
        <c:manualLayout>
          <c:xMode val="edge"/>
          <c:yMode val="edge"/>
          <c:x val="0.78765419104102985"/>
          <c:y val="0.19032125984251969"/>
          <c:w val="0.20484329561632558"/>
          <c:h val="0.687386526684164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Employment</a:t>
            </a:r>
            <a:r>
              <a:rPr lang="en-GB" baseline="0"/>
              <a:t> Costs v No. of Positions Filled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clustered"/>
        <c:varyColors val="0"/>
        <c:ser>
          <c:idx val="1"/>
          <c:order val="1"/>
          <c:tx>
            <c:strRef>
              <c:f>'Tables &amp; Charts 7yrs'!$C$61</c:f>
              <c:strCache>
                <c:ptCount val="1"/>
                <c:pt idx="0">
                  <c:v>Total Employee Positions Filled</c:v>
                </c:pt>
              </c:strCache>
            </c:strRef>
          </c:tx>
          <c:spPr>
            <a:solidFill>
              <a:srgbClr val="00B0F0"/>
            </a:solidFill>
            <a:ln>
              <a:noFill/>
            </a:ln>
            <a:effectLst/>
          </c:spPr>
          <c:invertIfNegative val="0"/>
          <c:cat>
            <c:strRef>
              <c:f>'Tables &amp; Charts 7yrs'!$D$59:$L$59</c:f>
              <c:strCache>
                <c:ptCount val="9"/>
                <c:pt idx="0">
                  <c:v>2015/16</c:v>
                </c:pt>
                <c:pt idx="1">
                  <c:v>2016/17</c:v>
                </c:pt>
                <c:pt idx="2">
                  <c:v>2017/18</c:v>
                </c:pt>
                <c:pt idx="3">
                  <c:v>2018/19</c:v>
                </c:pt>
                <c:pt idx="4">
                  <c:v>2019/20</c:v>
                </c:pt>
                <c:pt idx="5">
                  <c:v>2020/21</c:v>
                </c:pt>
                <c:pt idx="6">
                  <c:v>2021/22</c:v>
                </c:pt>
                <c:pt idx="7">
                  <c:v>2022/23</c:v>
                </c:pt>
                <c:pt idx="8">
                  <c:v>2023/24</c:v>
                </c:pt>
              </c:strCache>
            </c:strRef>
          </c:cat>
          <c:val>
            <c:numRef>
              <c:f>'Tables &amp; Charts 7yrs'!$D$61:$L$61</c:f>
              <c:numCache>
                <c:formatCode>_-* #,##0_-;\-* #,##0_-;_-* "-"??_-;_-@_-</c:formatCode>
                <c:ptCount val="9"/>
                <c:pt idx="0">
                  <c:v>27966</c:v>
                </c:pt>
                <c:pt idx="1">
                  <c:v>27965</c:v>
                </c:pt>
                <c:pt idx="2">
                  <c:v>27472</c:v>
                </c:pt>
                <c:pt idx="3">
                  <c:v>32546</c:v>
                </c:pt>
                <c:pt idx="4">
                  <c:v>38024</c:v>
                </c:pt>
                <c:pt idx="5">
                  <c:v>37609</c:v>
                </c:pt>
                <c:pt idx="6">
                  <c:v>38309</c:v>
                </c:pt>
                <c:pt idx="7">
                  <c:v>0</c:v>
                </c:pt>
                <c:pt idx="8">
                  <c:v>0</c:v>
                </c:pt>
              </c:numCache>
            </c:numRef>
          </c:val>
          <c:extLst>
            <c:ext xmlns:c16="http://schemas.microsoft.com/office/drawing/2014/chart" uri="{C3380CC4-5D6E-409C-BE32-E72D297353CC}">
              <c16:uniqueId val="{00000001-28F2-4B40-A094-5175DB9CAA55}"/>
            </c:ext>
          </c:extLst>
        </c:ser>
        <c:dLbls>
          <c:showLegendKey val="0"/>
          <c:showVal val="0"/>
          <c:showCatName val="0"/>
          <c:showSerName val="0"/>
          <c:showPercent val="0"/>
          <c:showBubbleSize val="0"/>
        </c:dLbls>
        <c:gapWidth val="219"/>
        <c:axId val="1331807632"/>
        <c:axId val="1502039456"/>
      </c:barChart>
      <c:lineChart>
        <c:grouping val="standard"/>
        <c:varyColors val="0"/>
        <c:ser>
          <c:idx val="0"/>
          <c:order val="0"/>
          <c:tx>
            <c:strRef>
              <c:f>'Tables &amp; Charts 7yrs'!$C$60</c:f>
              <c:strCache>
                <c:ptCount val="1"/>
                <c:pt idx="0">
                  <c:v>Employment Costs</c:v>
                </c:pt>
              </c:strCache>
            </c:strRef>
          </c:tx>
          <c:spPr>
            <a:ln w="28575" cap="rnd">
              <a:solidFill>
                <a:schemeClr val="accent1"/>
              </a:solidFill>
              <a:round/>
            </a:ln>
            <a:effectLst/>
          </c:spPr>
          <c:marker>
            <c:symbol val="none"/>
          </c:marker>
          <c:cat>
            <c:strRef>
              <c:f>'Tables &amp; Charts 7yrs'!$D$59:$L$59</c:f>
              <c:strCache>
                <c:ptCount val="9"/>
                <c:pt idx="0">
                  <c:v>2015/16</c:v>
                </c:pt>
                <c:pt idx="1">
                  <c:v>2016/17</c:v>
                </c:pt>
                <c:pt idx="2">
                  <c:v>2017/18</c:v>
                </c:pt>
                <c:pt idx="3">
                  <c:v>2018/19</c:v>
                </c:pt>
                <c:pt idx="4">
                  <c:v>2019/20</c:v>
                </c:pt>
                <c:pt idx="5">
                  <c:v>2020/21</c:v>
                </c:pt>
                <c:pt idx="6">
                  <c:v>2021/22</c:v>
                </c:pt>
                <c:pt idx="7">
                  <c:v>2022/23</c:v>
                </c:pt>
                <c:pt idx="8">
                  <c:v>2023/24</c:v>
                </c:pt>
              </c:strCache>
            </c:strRef>
          </c:cat>
          <c:val>
            <c:numRef>
              <c:f>'Tables &amp; Charts 7yrs'!$D$60:$L$60</c:f>
              <c:numCache>
                <c:formatCode>_-* #,##0_-;\-* #,##0_-;_-* "-"??_-;_-@_-</c:formatCode>
                <c:ptCount val="9"/>
                <c:pt idx="0">
                  <c:v>8.9993379999999998</c:v>
                </c:pt>
                <c:pt idx="1">
                  <c:v>10.255081000000001</c:v>
                </c:pt>
                <c:pt idx="2">
                  <c:v>11.631360000000001</c:v>
                </c:pt>
                <c:pt idx="3">
                  <c:v>13.55528</c:v>
                </c:pt>
                <c:pt idx="4">
                  <c:v>14.852302999999999</c:v>
                </c:pt>
                <c:pt idx="5">
                  <c:v>15.844916</c:v>
                </c:pt>
                <c:pt idx="6">
                  <c:v>15.756481000000001</c:v>
                </c:pt>
                <c:pt idx="7">
                  <c:v>17.613658000000001</c:v>
                </c:pt>
                <c:pt idx="8">
                  <c:v>19.363759999999999</c:v>
                </c:pt>
              </c:numCache>
            </c:numRef>
          </c:val>
          <c:smooth val="0"/>
          <c:extLst>
            <c:ext xmlns:c16="http://schemas.microsoft.com/office/drawing/2014/chart" uri="{C3380CC4-5D6E-409C-BE32-E72D297353CC}">
              <c16:uniqueId val="{00000000-28F2-4B40-A094-5175DB9CAA55}"/>
            </c:ext>
          </c:extLst>
        </c:ser>
        <c:dLbls>
          <c:showLegendKey val="0"/>
          <c:showVal val="0"/>
          <c:showCatName val="0"/>
          <c:showSerName val="0"/>
          <c:showPercent val="0"/>
          <c:showBubbleSize val="0"/>
        </c:dLbls>
        <c:marker val="1"/>
        <c:smooth val="0"/>
        <c:axId val="1331793248"/>
        <c:axId val="1502042336"/>
      </c:lineChart>
      <c:catAx>
        <c:axId val="1331793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2042336"/>
        <c:crosses val="autoZero"/>
        <c:auto val="1"/>
        <c:lblAlgn val="ctr"/>
        <c:lblOffset val="100"/>
        <c:noMultiLvlLbl val="0"/>
      </c:catAx>
      <c:valAx>
        <c:axId val="1502042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 Billion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1793248"/>
        <c:crosses val="autoZero"/>
        <c:crossBetween val="between"/>
      </c:valAx>
      <c:valAx>
        <c:axId val="150203945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No. of</a:t>
                </a:r>
                <a:r>
                  <a:rPr lang="en-GB" baseline="0"/>
                  <a:t> positions filled</a:t>
                </a: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_-* #,##0_-;\-* #,##0_-;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1807632"/>
        <c:crosses val="max"/>
        <c:crossBetween val="between"/>
      </c:valAx>
      <c:catAx>
        <c:axId val="1331807632"/>
        <c:scaling>
          <c:orientation val="minMax"/>
        </c:scaling>
        <c:delete val="1"/>
        <c:axPos val="b"/>
        <c:numFmt formatCode="General" sourceLinked="1"/>
        <c:majorTickMark val="out"/>
        <c:minorTickMark val="none"/>
        <c:tickLblPos val="nextTo"/>
        <c:crossAx val="150203945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Selected Costs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9981384799726126E-2"/>
          <c:y val="0.1595"/>
          <c:w val="0.69027458830588262"/>
          <c:h val="0.73505332856120253"/>
        </c:manualLayout>
      </c:layout>
      <c:lineChart>
        <c:grouping val="standard"/>
        <c:varyColors val="0"/>
        <c:ser>
          <c:idx val="3"/>
          <c:order val="1"/>
          <c:tx>
            <c:strRef>
              <c:f>'Tables &amp; Charts 7yrs'!$C$13</c:f>
              <c:strCache>
                <c:ptCount val="1"/>
                <c:pt idx="0">
                  <c:v>Materials &amp; Bulk Purchases</c:v>
                </c:pt>
              </c:strCache>
            </c:strRef>
          </c:tx>
          <c:spPr>
            <a:ln w="28575" cap="rnd">
              <a:solidFill>
                <a:schemeClr val="accent4"/>
              </a:solidFill>
              <a:round/>
            </a:ln>
            <a:effectLst/>
          </c:spPr>
          <c:marker>
            <c:symbol val="none"/>
          </c:marker>
          <c:cat>
            <c:strRef>
              <c:extLst>
                <c:ext xmlns:c15="http://schemas.microsoft.com/office/drawing/2012/chart" uri="{02D57815-91ED-43cb-92C2-25804820EDAC}">
                  <c15:fullRef>
                    <c15:sqref>'Tables &amp; Charts 7yrs'!$D$9:$L$9</c15:sqref>
                  </c15:fullRef>
                </c:ext>
              </c:extLst>
              <c:f>'Tables &amp; Charts 7yrs'!$F$9:$L$9</c:f>
              <c:strCache>
                <c:ptCount val="7"/>
                <c:pt idx="0">
                  <c:v>2017/18</c:v>
                </c:pt>
                <c:pt idx="1">
                  <c:v>2018/19</c:v>
                </c:pt>
                <c:pt idx="2">
                  <c:v>2019/20</c:v>
                </c:pt>
                <c:pt idx="3">
                  <c:v>2020/21</c:v>
                </c:pt>
                <c:pt idx="4">
                  <c:v>2021/22</c:v>
                </c:pt>
                <c:pt idx="5">
                  <c:v>2022/23</c:v>
                </c:pt>
                <c:pt idx="6">
                  <c:v>2023/24</c:v>
                </c:pt>
              </c:strCache>
            </c:strRef>
          </c:cat>
          <c:val>
            <c:numRef>
              <c:extLst>
                <c:ext xmlns:c15="http://schemas.microsoft.com/office/drawing/2012/chart" uri="{02D57815-91ED-43cb-92C2-25804820EDAC}">
                  <c15:fullRef>
                    <c15:sqref>'Tables &amp; Charts 7yrs'!$D$13:$L$13</c15:sqref>
                  </c15:fullRef>
                </c:ext>
              </c:extLst>
              <c:f>'Tables &amp; Charts 7yrs'!$F$13:$L$13</c:f>
              <c:numCache>
                <c:formatCode>_-* #,##0_-;\-* #,##0_-;_-* "-"??_-;_-@_-</c:formatCode>
                <c:ptCount val="7"/>
                <c:pt idx="0">
                  <c:v>16.719787</c:v>
                </c:pt>
                <c:pt idx="1">
                  <c:v>16.810804999999998</c:v>
                </c:pt>
                <c:pt idx="2">
                  <c:v>18.065918</c:v>
                </c:pt>
                <c:pt idx="3">
                  <c:v>18.665655999999998</c:v>
                </c:pt>
                <c:pt idx="4">
                  <c:v>20.949269000000001</c:v>
                </c:pt>
                <c:pt idx="5">
                  <c:v>21.564468000000002</c:v>
                </c:pt>
                <c:pt idx="6">
                  <c:v>25.161992000000001</c:v>
                </c:pt>
              </c:numCache>
            </c:numRef>
          </c:val>
          <c:smooth val="0"/>
          <c:extLst>
            <c:ext xmlns:c16="http://schemas.microsoft.com/office/drawing/2014/chart" uri="{C3380CC4-5D6E-409C-BE32-E72D297353CC}">
              <c16:uniqueId val="{00000003-0AE1-4303-BA2E-D6AE3AC36B25}"/>
            </c:ext>
          </c:extLst>
        </c:ser>
        <c:ser>
          <c:idx val="1"/>
          <c:order val="2"/>
          <c:tx>
            <c:strRef>
              <c:f>'Tables &amp; Charts 7yrs'!$C$11</c:f>
              <c:strCache>
                <c:ptCount val="1"/>
                <c:pt idx="0">
                  <c:v>Employment Costs</c:v>
                </c:pt>
              </c:strCache>
            </c:strRef>
          </c:tx>
          <c:spPr>
            <a:ln w="28575" cap="rnd">
              <a:solidFill>
                <a:schemeClr val="accent1"/>
              </a:solidFill>
              <a:round/>
            </a:ln>
            <a:effectLst/>
          </c:spPr>
          <c:marker>
            <c:symbol val="none"/>
          </c:marker>
          <c:cat>
            <c:strRef>
              <c:extLst>
                <c:ext xmlns:c15="http://schemas.microsoft.com/office/drawing/2012/chart" uri="{02D57815-91ED-43cb-92C2-25804820EDAC}">
                  <c15:fullRef>
                    <c15:sqref>'Tables &amp; Charts 7yrs'!$D$9:$L$9</c15:sqref>
                  </c15:fullRef>
                </c:ext>
              </c:extLst>
              <c:f>'Tables &amp; Charts 7yrs'!$F$9:$L$9</c:f>
              <c:strCache>
                <c:ptCount val="7"/>
                <c:pt idx="0">
                  <c:v>2017/18</c:v>
                </c:pt>
                <c:pt idx="1">
                  <c:v>2018/19</c:v>
                </c:pt>
                <c:pt idx="2">
                  <c:v>2019/20</c:v>
                </c:pt>
                <c:pt idx="3">
                  <c:v>2020/21</c:v>
                </c:pt>
                <c:pt idx="4">
                  <c:v>2021/22</c:v>
                </c:pt>
                <c:pt idx="5">
                  <c:v>2022/23</c:v>
                </c:pt>
                <c:pt idx="6">
                  <c:v>2023/24</c:v>
                </c:pt>
              </c:strCache>
            </c:strRef>
          </c:cat>
          <c:val>
            <c:numRef>
              <c:extLst>
                <c:ext xmlns:c15="http://schemas.microsoft.com/office/drawing/2012/chart" uri="{02D57815-91ED-43cb-92C2-25804820EDAC}">
                  <c15:fullRef>
                    <c15:sqref>'Tables &amp; Charts 7yrs'!$D$11:$L$11</c15:sqref>
                  </c15:fullRef>
                </c:ext>
              </c:extLst>
              <c:f>'Tables &amp; Charts 7yrs'!$F$11:$L$11</c:f>
              <c:numCache>
                <c:formatCode>_-* #,##0_-;\-* #,##0_-;_-* "-"??_-;_-@_-</c:formatCode>
                <c:ptCount val="7"/>
                <c:pt idx="0">
                  <c:v>11.631360000000001</c:v>
                </c:pt>
                <c:pt idx="1">
                  <c:v>13.55528</c:v>
                </c:pt>
                <c:pt idx="2">
                  <c:v>14.852302999999999</c:v>
                </c:pt>
                <c:pt idx="3">
                  <c:v>15.844916</c:v>
                </c:pt>
                <c:pt idx="4">
                  <c:v>15.756481000000001</c:v>
                </c:pt>
                <c:pt idx="5">
                  <c:v>17.613658000000001</c:v>
                </c:pt>
                <c:pt idx="6">
                  <c:v>19.363759999999999</c:v>
                </c:pt>
              </c:numCache>
            </c:numRef>
          </c:val>
          <c:smooth val="0"/>
          <c:extLst>
            <c:ext xmlns:c16="http://schemas.microsoft.com/office/drawing/2014/chart" uri="{C3380CC4-5D6E-409C-BE32-E72D297353CC}">
              <c16:uniqueId val="{00000001-0AE1-4303-BA2E-D6AE3AC36B25}"/>
            </c:ext>
          </c:extLst>
        </c:ser>
        <c:ser>
          <c:idx val="2"/>
          <c:order val="3"/>
          <c:tx>
            <c:strRef>
              <c:f>'Tables &amp; Charts 7yrs'!$C$12</c:f>
              <c:strCache>
                <c:ptCount val="1"/>
                <c:pt idx="0">
                  <c:v>Capital Expenditure</c:v>
                </c:pt>
              </c:strCache>
            </c:strRef>
          </c:tx>
          <c:spPr>
            <a:ln w="28575" cap="rnd">
              <a:solidFill>
                <a:srgbClr val="FF00FF"/>
              </a:solidFill>
              <a:round/>
            </a:ln>
            <a:effectLst/>
          </c:spPr>
          <c:marker>
            <c:symbol val="none"/>
          </c:marker>
          <c:cat>
            <c:strRef>
              <c:extLst>
                <c:ext xmlns:c15="http://schemas.microsoft.com/office/drawing/2012/chart" uri="{02D57815-91ED-43cb-92C2-25804820EDAC}">
                  <c15:fullRef>
                    <c15:sqref>'Tables &amp; Charts 7yrs'!$D$9:$L$9</c15:sqref>
                  </c15:fullRef>
                </c:ext>
              </c:extLst>
              <c:f>'Tables &amp; Charts 7yrs'!$F$9:$L$9</c:f>
              <c:strCache>
                <c:ptCount val="7"/>
                <c:pt idx="0">
                  <c:v>2017/18</c:v>
                </c:pt>
                <c:pt idx="1">
                  <c:v>2018/19</c:v>
                </c:pt>
                <c:pt idx="2">
                  <c:v>2019/20</c:v>
                </c:pt>
                <c:pt idx="3">
                  <c:v>2020/21</c:v>
                </c:pt>
                <c:pt idx="4">
                  <c:v>2021/22</c:v>
                </c:pt>
                <c:pt idx="5">
                  <c:v>2022/23</c:v>
                </c:pt>
                <c:pt idx="6">
                  <c:v>2023/24</c:v>
                </c:pt>
              </c:strCache>
            </c:strRef>
          </c:cat>
          <c:val>
            <c:numRef>
              <c:extLst>
                <c:ext xmlns:c15="http://schemas.microsoft.com/office/drawing/2012/chart" uri="{02D57815-91ED-43cb-92C2-25804820EDAC}">
                  <c15:fullRef>
                    <c15:sqref>'Tables &amp; Charts 7yrs'!$D$12:$L$12</c15:sqref>
                  </c15:fullRef>
                </c:ext>
              </c:extLst>
              <c:f>'Tables &amp; Charts 7yrs'!$F$12:$L$12</c:f>
              <c:numCache>
                <c:formatCode>_-* #,##0_-;\-* #,##0_-;_-* "-"??_-;_-@_-</c:formatCode>
                <c:ptCount val="7"/>
                <c:pt idx="0">
                  <c:v>5.0968850000000003</c:v>
                </c:pt>
                <c:pt idx="1">
                  <c:v>0.24418200000000001</c:v>
                </c:pt>
                <c:pt idx="2">
                  <c:v>5.7842310000000001</c:v>
                </c:pt>
                <c:pt idx="3">
                  <c:v>6.0984400000000001</c:v>
                </c:pt>
                <c:pt idx="4">
                  <c:v>6.6459020000000004</c:v>
                </c:pt>
                <c:pt idx="5">
                  <c:v>6.5451569999999997</c:v>
                </c:pt>
                <c:pt idx="6">
                  <c:v>7.6484509999999997</c:v>
                </c:pt>
              </c:numCache>
            </c:numRef>
          </c:val>
          <c:smooth val="0"/>
          <c:extLst>
            <c:ext xmlns:c16="http://schemas.microsoft.com/office/drawing/2014/chart" uri="{C3380CC4-5D6E-409C-BE32-E72D297353CC}">
              <c16:uniqueId val="{00000002-0AE1-4303-BA2E-D6AE3AC36B25}"/>
            </c:ext>
          </c:extLst>
        </c:ser>
        <c:ser>
          <c:idx val="5"/>
          <c:order val="4"/>
          <c:tx>
            <c:strRef>
              <c:f>'Tables &amp; Charts 7yrs'!$C$14</c:f>
              <c:strCache>
                <c:ptCount val="1"/>
                <c:pt idx="0">
                  <c:v>Debt Impairment</c:v>
                </c:pt>
              </c:strCache>
            </c:strRef>
          </c:tx>
          <c:spPr>
            <a:ln w="28575" cap="rnd">
              <a:solidFill>
                <a:srgbClr val="C00000"/>
              </a:solidFill>
              <a:prstDash val="sysDash"/>
              <a:round/>
            </a:ln>
            <a:effectLst/>
          </c:spPr>
          <c:marker>
            <c:symbol val="none"/>
          </c:marker>
          <c:cat>
            <c:strRef>
              <c:extLst>
                <c:ext xmlns:c15="http://schemas.microsoft.com/office/drawing/2012/chart" uri="{02D57815-91ED-43cb-92C2-25804820EDAC}">
                  <c15:fullRef>
                    <c15:sqref>'Tables &amp; Charts 7yrs'!$D$9:$L$9</c15:sqref>
                  </c15:fullRef>
                </c:ext>
              </c:extLst>
              <c:f>'Tables &amp; Charts 7yrs'!$F$9:$L$9</c:f>
              <c:strCache>
                <c:ptCount val="7"/>
                <c:pt idx="0">
                  <c:v>2017/18</c:v>
                </c:pt>
                <c:pt idx="1">
                  <c:v>2018/19</c:v>
                </c:pt>
                <c:pt idx="2">
                  <c:v>2019/20</c:v>
                </c:pt>
                <c:pt idx="3">
                  <c:v>2020/21</c:v>
                </c:pt>
                <c:pt idx="4">
                  <c:v>2021/22</c:v>
                </c:pt>
                <c:pt idx="5">
                  <c:v>2022/23</c:v>
                </c:pt>
                <c:pt idx="6">
                  <c:v>2023/24</c:v>
                </c:pt>
              </c:strCache>
            </c:strRef>
          </c:cat>
          <c:val>
            <c:numRef>
              <c:extLst>
                <c:ext xmlns:c15="http://schemas.microsoft.com/office/drawing/2012/chart" uri="{02D57815-91ED-43cb-92C2-25804820EDAC}">
                  <c15:fullRef>
                    <c15:sqref>'Tables &amp; Charts 7yrs'!$D$14:$L$14</c15:sqref>
                  </c15:fullRef>
                </c:ext>
              </c:extLst>
              <c:f>'Tables &amp; Charts 7yrs'!$F$14:$L$14</c:f>
              <c:numCache>
                <c:formatCode>_-* #,##0_-;\-* #,##0_-;_-* "-"??_-;_-@_-</c:formatCode>
                <c:ptCount val="7"/>
                <c:pt idx="0">
                  <c:v>3.3799920000000001</c:v>
                </c:pt>
                <c:pt idx="1">
                  <c:v>4.5788570000000002</c:v>
                </c:pt>
                <c:pt idx="2">
                  <c:v>6.9251180000000003</c:v>
                </c:pt>
                <c:pt idx="3">
                  <c:v>6.4047140000000002</c:v>
                </c:pt>
                <c:pt idx="4">
                  <c:v>5.8481259999999997</c:v>
                </c:pt>
                <c:pt idx="5">
                  <c:v>6.1809849999999997</c:v>
                </c:pt>
                <c:pt idx="6">
                  <c:v>8.7392610000000008</c:v>
                </c:pt>
              </c:numCache>
            </c:numRef>
          </c:val>
          <c:smooth val="0"/>
          <c:extLst>
            <c:ext xmlns:c16="http://schemas.microsoft.com/office/drawing/2014/chart" uri="{C3380CC4-5D6E-409C-BE32-E72D297353CC}">
              <c16:uniqueId val="{00000002-043F-40E5-A087-D5FBA34D203D}"/>
            </c:ext>
          </c:extLst>
        </c:ser>
        <c:ser>
          <c:idx val="4"/>
          <c:order val="5"/>
          <c:tx>
            <c:strRef>
              <c:f>'Tables &amp; Charts 7yrs'!$C$21</c:f>
              <c:strCache>
                <c:ptCount val="1"/>
                <c:pt idx="0">
                  <c:v>Unauthorised, Irregular, Fruitless &amp; Wasteful Expenditure</c:v>
                </c:pt>
              </c:strCache>
            </c:strRef>
          </c:tx>
          <c:spPr>
            <a:ln w="28575" cap="rnd">
              <a:solidFill>
                <a:schemeClr val="bg1">
                  <a:lumMod val="50000"/>
                </a:schemeClr>
              </a:solidFill>
              <a:round/>
            </a:ln>
            <a:effectLst/>
          </c:spPr>
          <c:marker>
            <c:symbol val="none"/>
          </c:marker>
          <c:cat>
            <c:strRef>
              <c:extLst>
                <c:ext xmlns:c15="http://schemas.microsoft.com/office/drawing/2012/chart" uri="{02D57815-91ED-43cb-92C2-25804820EDAC}">
                  <c15:fullRef>
                    <c15:sqref>'Tables &amp; Charts 7yrs'!$D$9:$L$9</c15:sqref>
                  </c15:fullRef>
                </c:ext>
              </c:extLst>
              <c:f>'Tables &amp; Charts 7yrs'!$F$9:$L$9</c:f>
              <c:strCache>
                <c:ptCount val="7"/>
                <c:pt idx="0">
                  <c:v>2017/18</c:v>
                </c:pt>
                <c:pt idx="1">
                  <c:v>2018/19</c:v>
                </c:pt>
                <c:pt idx="2">
                  <c:v>2019/20</c:v>
                </c:pt>
                <c:pt idx="3">
                  <c:v>2020/21</c:v>
                </c:pt>
                <c:pt idx="4">
                  <c:v>2021/22</c:v>
                </c:pt>
                <c:pt idx="5">
                  <c:v>2022/23</c:v>
                </c:pt>
                <c:pt idx="6">
                  <c:v>2023/24</c:v>
                </c:pt>
              </c:strCache>
            </c:strRef>
          </c:cat>
          <c:val>
            <c:numRef>
              <c:extLst>
                <c:ext xmlns:c15="http://schemas.microsoft.com/office/drawing/2012/chart" uri="{02D57815-91ED-43cb-92C2-25804820EDAC}">
                  <c15:fullRef>
                    <c15:sqref>'Tables &amp; Charts 7yrs'!$D$21:$L$21</c15:sqref>
                  </c15:fullRef>
                </c:ext>
              </c:extLst>
              <c:f>'Tables &amp; Charts 7yrs'!$F$21:$L$21</c:f>
              <c:numCache>
                <c:formatCode>_-* #,##0_-;\-* #,##0_-;_-* "-"??_-;_-@_-</c:formatCode>
                <c:ptCount val="7"/>
                <c:pt idx="0">
                  <c:v>2.1314340000000001</c:v>
                </c:pt>
                <c:pt idx="1">
                  <c:v>2.8099759999999998</c:v>
                </c:pt>
                <c:pt idx="2">
                  <c:v>3.8552579999999996</c:v>
                </c:pt>
                <c:pt idx="3">
                  <c:v>4.1183510000000005</c:v>
                </c:pt>
                <c:pt idx="4">
                  <c:v>4.9805229999999998</c:v>
                </c:pt>
                <c:pt idx="5">
                  <c:v>6.3994829999999991</c:v>
                </c:pt>
                <c:pt idx="6">
                  <c:v>12.808615</c:v>
                </c:pt>
              </c:numCache>
            </c:numRef>
          </c:val>
          <c:smooth val="0"/>
          <c:extLst>
            <c:ext xmlns:c16="http://schemas.microsoft.com/office/drawing/2014/chart" uri="{C3380CC4-5D6E-409C-BE32-E72D297353CC}">
              <c16:uniqueId val="{00000004-0AE1-4303-BA2E-D6AE3AC36B25}"/>
            </c:ext>
          </c:extLst>
        </c:ser>
        <c:dLbls>
          <c:showLegendKey val="0"/>
          <c:showVal val="0"/>
          <c:showCatName val="0"/>
          <c:showSerName val="0"/>
          <c:showPercent val="0"/>
          <c:showBubbleSize val="0"/>
        </c:dLbls>
        <c:smooth val="0"/>
        <c:axId val="1849500720"/>
        <c:axId val="2066174784"/>
        <c:extLst>
          <c:ext xmlns:c15="http://schemas.microsoft.com/office/drawing/2012/chart" uri="{02D57815-91ED-43cb-92C2-25804820EDAC}">
            <c15:filteredLineSeries>
              <c15:ser>
                <c:idx val="0"/>
                <c:order val="0"/>
                <c:tx>
                  <c:strRef>
                    <c:extLst>
                      <c:ext uri="{02D57815-91ED-43cb-92C2-25804820EDAC}">
                        <c15:formulaRef>
                          <c15:sqref>'Tables &amp; Charts 7yrs'!$C$10</c15:sqref>
                        </c15:formulaRef>
                      </c:ext>
                    </c:extLst>
                    <c:strCache>
                      <c:ptCount val="1"/>
                      <c:pt idx="0">
                        <c:v>Revenue</c:v>
                      </c:pt>
                    </c:strCache>
                  </c:strRef>
                </c:tx>
                <c:spPr>
                  <a:ln w="28575" cap="rnd">
                    <a:solidFill>
                      <a:srgbClr val="00B050"/>
                    </a:solidFill>
                    <a:round/>
                  </a:ln>
                  <a:effectLst/>
                </c:spPr>
                <c:marker>
                  <c:symbol val="none"/>
                </c:marker>
                <c:cat>
                  <c:strRef>
                    <c:extLst>
                      <c:ext uri="{02D57815-91ED-43cb-92C2-25804820EDAC}">
                        <c15:fullRef>
                          <c15:sqref>'Tables &amp; Charts 7yrs'!$D$9:$L$9</c15:sqref>
                        </c15:fullRef>
                        <c15:formulaRef>
                          <c15:sqref>'Tables &amp; Charts 7yrs'!$F$9:$L$9</c15:sqref>
                        </c15:formulaRef>
                      </c:ext>
                    </c:extLst>
                    <c:strCache>
                      <c:ptCount val="7"/>
                      <c:pt idx="0">
                        <c:v>2017/18</c:v>
                      </c:pt>
                      <c:pt idx="1">
                        <c:v>2018/19</c:v>
                      </c:pt>
                      <c:pt idx="2">
                        <c:v>2019/20</c:v>
                      </c:pt>
                      <c:pt idx="3">
                        <c:v>2020/21</c:v>
                      </c:pt>
                      <c:pt idx="4">
                        <c:v>2021/22</c:v>
                      </c:pt>
                      <c:pt idx="5">
                        <c:v>2022/23</c:v>
                      </c:pt>
                      <c:pt idx="6">
                        <c:v>2023/24</c:v>
                      </c:pt>
                    </c:strCache>
                  </c:strRef>
                </c:cat>
                <c:val>
                  <c:numRef>
                    <c:extLst>
                      <c:ext uri="{02D57815-91ED-43cb-92C2-25804820EDAC}">
                        <c15:fullRef>
                          <c15:sqref>'Tables &amp; Charts 7yrs'!$D$10:$L$10</c15:sqref>
                        </c15:fullRef>
                        <c15:formulaRef>
                          <c15:sqref>'Tables &amp; Charts 7yrs'!$F$10:$L$10</c15:sqref>
                        </c15:formulaRef>
                      </c:ext>
                    </c:extLst>
                    <c:numCache>
                      <c:formatCode>_-* #,##0_-;\-* #,##0_-;_-* "-"??_-;_-@_-</c:formatCode>
                      <c:ptCount val="7"/>
                      <c:pt idx="0">
                        <c:v>50.532519000000001</c:v>
                      </c:pt>
                      <c:pt idx="1">
                        <c:v>61.319197000000003</c:v>
                      </c:pt>
                      <c:pt idx="2">
                        <c:v>63.351554</c:v>
                      </c:pt>
                      <c:pt idx="3">
                        <c:v>68.276393999999996</c:v>
                      </c:pt>
                      <c:pt idx="4">
                        <c:v>61.268810999999999</c:v>
                      </c:pt>
                      <c:pt idx="5">
                        <c:v>64.307796999999994</c:v>
                      </c:pt>
                      <c:pt idx="6">
                        <c:v>73.998778000000001</c:v>
                      </c:pt>
                    </c:numCache>
                  </c:numRef>
                </c:val>
                <c:smooth val="0"/>
                <c:extLst>
                  <c:ext xmlns:c16="http://schemas.microsoft.com/office/drawing/2014/chart" uri="{C3380CC4-5D6E-409C-BE32-E72D297353CC}">
                    <c16:uniqueId val="{00000000-0AE1-4303-BA2E-D6AE3AC36B25}"/>
                  </c:ext>
                </c:extLst>
              </c15:ser>
            </c15:filteredLineSeries>
          </c:ext>
        </c:extLst>
      </c:lineChart>
      <c:catAx>
        <c:axId val="18495007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6174784"/>
        <c:crosses val="autoZero"/>
        <c:auto val="1"/>
        <c:lblAlgn val="ctr"/>
        <c:lblOffset val="100"/>
        <c:noMultiLvlLbl val="0"/>
      </c:catAx>
      <c:valAx>
        <c:axId val="2066174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R Billion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9500720"/>
        <c:crosses val="autoZero"/>
        <c:crossBetween val="between"/>
      </c:valAx>
      <c:spPr>
        <a:noFill/>
        <a:ln>
          <a:noFill/>
        </a:ln>
        <a:effectLst/>
      </c:spPr>
    </c:plotArea>
    <c:legend>
      <c:legendPos val="r"/>
      <c:layout>
        <c:manualLayout>
          <c:xMode val="edge"/>
          <c:yMode val="edge"/>
          <c:x val="0.78398600354350889"/>
          <c:y val="0.21693842835347141"/>
          <c:w val="0.21601399645649116"/>
          <c:h val="0.6937691808568472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42" Type="http://schemas.openxmlformats.org/officeDocument/2006/relationships/image" Target="../media/image44.png"/><Relationship Id="rId47" Type="http://schemas.openxmlformats.org/officeDocument/2006/relationships/image" Target="../media/image49.png"/><Relationship Id="rId50" Type="http://schemas.openxmlformats.org/officeDocument/2006/relationships/image" Target="../media/image52.png"/><Relationship Id="rId55" Type="http://schemas.openxmlformats.org/officeDocument/2006/relationships/image" Target="../media/image57.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9" Type="http://schemas.openxmlformats.org/officeDocument/2006/relationships/image" Target="../media/image31.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45" Type="http://schemas.openxmlformats.org/officeDocument/2006/relationships/image" Target="../media/image47.png"/><Relationship Id="rId53" Type="http://schemas.openxmlformats.org/officeDocument/2006/relationships/image" Target="../media/image55.png"/><Relationship Id="rId5" Type="http://schemas.openxmlformats.org/officeDocument/2006/relationships/image" Target="../media/image7.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4" Type="http://schemas.openxmlformats.org/officeDocument/2006/relationships/image" Target="../media/image46.png"/><Relationship Id="rId52" Type="http://schemas.openxmlformats.org/officeDocument/2006/relationships/image" Target="../media/image54.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43" Type="http://schemas.openxmlformats.org/officeDocument/2006/relationships/image" Target="../media/image45.png"/><Relationship Id="rId48" Type="http://schemas.openxmlformats.org/officeDocument/2006/relationships/image" Target="../media/image50.png"/><Relationship Id="rId8" Type="http://schemas.openxmlformats.org/officeDocument/2006/relationships/image" Target="../media/image10.png"/><Relationship Id="rId51" Type="http://schemas.openxmlformats.org/officeDocument/2006/relationships/image" Target="../media/image53.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 Id="rId46" Type="http://schemas.openxmlformats.org/officeDocument/2006/relationships/image" Target="../media/image48.png"/><Relationship Id="rId20" Type="http://schemas.openxmlformats.org/officeDocument/2006/relationships/image" Target="../media/image22.png"/><Relationship Id="rId41" Type="http://schemas.openxmlformats.org/officeDocument/2006/relationships/image" Target="../media/image43.png"/><Relationship Id="rId54" Type="http://schemas.openxmlformats.org/officeDocument/2006/relationships/image" Target="../media/image56.png"/><Relationship Id="rId1" Type="http://schemas.openxmlformats.org/officeDocument/2006/relationships/image" Target="../media/image3.png"/><Relationship Id="rId6" Type="http://schemas.openxmlformats.org/officeDocument/2006/relationships/image" Target="../media/image8.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49" Type="http://schemas.openxmlformats.org/officeDocument/2006/relationships/image" Target="../media/image51.png"/></Relationships>
</file>

<file path=xl/drawings/_rels/drawing5.xml.rels><?xml version="1.0" encoding="UTF-8" standalone="yes"?>
<Relationships xmlns="http://schemas.openxmlformats.org/package/2006/relationships"><Relationship Id="rId3" Type="http://schemas.openxmlformats.org/officeDocument/2006/relationships/image" Target="../media/image60.png"/><Relationship Id="rId2" Type="http://schemas.openxmlformats.org/officeDocument/2006/relationships/image" Target="../media/image59.png"/><Relationship Id="rId1" Type="http://schemas.openxmlformats.org/officeDocument/2006/relationships/image" Target="../media/image58.png"/></Relationships>
</file>

<file path=xl/drawings/drawing1.xml><?xml version="1.0" encoding="utf-8"?>
<xdr:wsDr xmlns:xdr="http://schemas.openxmlformats.org/drawingml/2006/spreadsheetDrawing" xmlns:a="http://schemas.openxmlformats.org/drawingml/2006/main">
  <xdr:twoCellAnchor>
    <xdr:from>
      <xdr:col>6</xdr:col>
      <xdr:colOff>220028</xdr:colOff>
      <xdr:row>53</xdr:row>
      <xdr:rowOff>122238</xdr:rowOff>
    </xdr:from>
    <xdr:to>
      <xdr:col>18</xdr:col>
      <xdr:colOff>996950</xdr:colOff>
      <xdr:row>72</xdr:row>
      <xdr:rowOff>107156</xdr:rowOff>
    </xdr:to>
    <xdr:graphicFrame macro="">
      <xdr:nvGraphicFramePr>
        <xdr:cNvPr id="2" name="Chart 1">
          <a:extLst>
            <a:ext uri="{FF2B5EF4-FFF2-40B4-BE49-F238E27FC236}">
              <a16:creationId xmlns:a16="http://schemas.microsoft.com/office/drawing/2014/main" id="{764E7756-EFE0-FFB2-26CF-35EB253F60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67943</xdr:colOff>
      <xdr:row>96</xdr:row>
      <xdr:rowOff>159771</xdr:rowOff>
    </xdr:from>
    <xdr:to>
      <xdr:col>10</xdr:col>
      <xdr:colOff>202406</xdr:colOff>
      <xdr:row>113</xdr:row>
      <xdr:rowOff>107157</xdr:rowOff>
    </xdr:to>
    <xdr:graphicFrame macro="">
      <xdr:nvGraphicFramePr>
        <xdr:cNvPr id="3" name="Chart 2">
          <a:extLst>
            <a:ext uri="{FF2B5EF4-FFF2-40B4-BE49-F238E27FC236}">
              <a16:creationId xmlns:a16="http://schemas.microsoft.com/office/drawing/2014/main" id="{92A76DCE-AF62-476B-9EC5-C8921F2432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33654</xdr:colOff>
      <xdr:row>77</xdr:row>
      <xdr:rowOff>43075</xdr:rowOff>
    </xdr:from>
    <xdr:to>
      <xdr:col>16</xdr:col>
      <xdr:colOff>512535</xdr:colOff>
      <xdr:row>96</xdr:row>
      <xdr:rowOff>106522</xdr:rowOff>
    </xdr:to>
    <xdr:graphicFrame macro="">
      <xdr:nvGraphicFramePr>
        <xdr:cNvPr id="4" name="Chart 3">
          <a:extLst>
            <a:ext uri="{FF2B5EF4-FFF2-40B4-BE49-F238E27FC236}">
              <a16:creationId xmlns:a16="http://schemas.microsoft.com/office/drawing/2014/main" id="{3718558B-05FB-47BA-8C5A-8DE37FD549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381000</xdr:colOff>
      <xdr:row>151</xdr:row>
      <xdr:rowOff>166687</xdr:rowOff>
    </xdr:from>
    <xdr:to>
      <xdr:col>11</xdr:col>
      <xdr:colOff>347321</xdr:colOff>
      <xdr:row>173</xdr:row>
      <xdr:rowOff>7143</xdr:rowOff>
    </xdr:to>
    <xdr:graphicFrame macro="">
      <xdr:nvGraphicFramePr>
        <xdr:cNvPr id="6" name="Chart 5">
          <a:extLst>
            <a:ext uri="{FF2B5EF4-FFF2-40B4-BE49-F238E27FC236}">
              <a16:creationId xmlns:a16="http://schemas.microsoft.com/office/drawing/2014/main" id="{98817ED8-B07F-4842-B6DA-F6561718AA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379414</xdr:colOff>
      <xdr:row>53</xdr:row>
      <xdr:rowOff>130970</xdr:rowOff>
    </xdr:from>
    <xdr:to>
      <xdr:col>5</xdr:col>
      <xdr:colOff>314327</xdr:colOff>
      <xdr:row>72</xdr:row>
      <xdr:rowOff>68262</xdr:rowOff>
    </xdr:to>
    <xdr:graphicFrame macro="">
      <xdr:nvGraphicFramePr>
        <xdr:cNvPr id="5" name="Chart 4">
          <a:extLst>
            <a:ext uri="{FF2B5EF4-FFF2-40B4-BE49-F238E27FC236}">
              <a16:creationId xmlns:a16="http://schemas.microsoft.com/office/drawing/2014/main" id="{7E7455B3-D78B-9F60-CA11-8AB85927A1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273844</xdr:colOff>
      <xdr:row>122</xdr:row>
      <xdr:rowOff>134143</xdr:rowOff>
    </xdr:from>
    <xdr:to>
      <xdr:col>13</xdr:col>
      <xdr:colOff>59531</xdr:colOff>
      <xdr:row>149</xdr:row>
      <xdr:rowOff>59531</xdr:rowOff>
    </xdr:to>
    <xdr:graphicFrame macro="">
      <xdr:nvGraphicFramePr>
        <xdr:cNvPr id="7" name="Chart 6">
          <a:extLst>
            <a:ext uri="{FF2B5EF4-FFF2-40B4-BE49-F238E27FC236}">
              <a16:creationId xmlns:a16="http://schemas.microsoft.com/office/drawing/2014/main" id="{61F9B4A6-31B2-47DD-B2D5-5129515FD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31750</xdr:colOff>
      <xdr:row>21</xdr:row>
      <xdr:rowOff>128905</xdr:rowOff>
    </xdr:from>
    <xdr:to>
      <xdr:col>8</xdr:col>
      <xdr:colOff>298450</xdr:colOff>
      <xdr:row>36</xdr:row>
      <xdr:rowOff>128905</xdr:rowOff>
    </xdr:to>
    <xdr:graphicFrame macro="">
      <xdr:nvGraphicFramePr>
        <xdr:cNvPr id="2" name="Chart 1">
          <a:extLst>
            <a:ext uri="{FF2B5EF4-FFF2-40B4-BE49-F238E27FC236}">
              <a16:creationId xmlns:a16="http://schemas.microsoft.com/office/drawing/2014/main" id="{C6E70617-8521-E0A3-9A11-EEC7064908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381000</xdr:colOff>
      <xdr:row>63</xdr:row>
      <xdr:rowOff>34290</xdr:rowOff>
    </xdr:from>
    <xdr:to>
      <xdr:col>7</xdr:col>
      <xdr:colOff>393700</xdr:colOff>
      <xdr:row>78</xdr:row>
      <xdr:rowOff>34290</xdr:rowOff>
    </xdr:to>
    <xdr:graphicFrame macro="">
      <xdr:nvGraphicFramePr>
        <xdr:cNvPr id="3" name="Chart 2">
          <a:extLst>
            <a:ext uri="{FF2B5EF4-FFF2-40B4-BE49-F238E27FC236}">
              <a16:creationId xmlns:a16="http://schemas.microsoft.com/office/drawing/2014/main" id="{A27D1F57-26D5-9FB1-C635-4FD96F1D0F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38</xdr:row>
      <xdr:rowOff>28575</xdr:rowOff>
    </xdr:from>
    <xdr:to>
      <xdr:col>8</xdr:col>
      <xdr:colOff>317500</xdr:colOff>
      <xdr:row>53</xdr:row>
      <xdr:rowOff>28575</xdr:rowOff>
    </xdr:to>
    <xdr:graphicFrame macro="">
      <xdr:nvGraphicFramePr>
        <xdr:cNvPr id="4" name="Chart 3">
          <a:extLst>
            <a:ext uri="{FF2B5EF4-FFF2-40B4-BE49-F238E27FC236}">
              <a16:creationId xmlns:a16="http://schemas.microsoft.com/office/drawing/2014/main" id="{CBC0B713-D167-46E0-9CA7-C32A46624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196851</xdr:colOff>
      <xdr:row>46</xdr:row>
      <xdr:rowOff>69849</xdr:rowOff>
    </xdr:from>
    <xdr:to>
      <xdr:col>5</xdr:col>
      <xdr:colOff>683901</xdr:colOff>
      <xdr:row>50</xdr:row>
      <xdr:rowOff>130174</xdr:rowOff>
    </xdr:to>
    <xdr:sp macro="" textlink="">
      <xdr:nvSpPr>
        <xdr:cNvPr id="6" name="Rectangle: Rounded Corners 5">
          <a:extLst>
            <a:ext uri="{FF2B5EF4-FFF2-40B4-BE49-F238E27FC236}">
              <a16:creationId xmlns:a16="http://schemas.microsoft.com/office/drawing/2014/main" id="{760EE4D7-462F-5D7C-A2D9-9FAB612F1FCC}"/>
            </a:ext>
          </a:extLst>
        </xdr:cNvPr>
        <xdr:cNvSpPr/>
      </xdr:nvSpPr>
      <xdr:spPr>
        <a:xfrm>
          <a:off x="4191001" y="8985249"/>
          <a:ext cx="1992000" cy="815975"/>
        </a:xfrm>
        <a:prstGeom prst="roundRect">
          <a:avLst/>
        </a:prstGeom>
        <a:noFill/>
        <a:ln w="28575">
          <a:solidFill>
            <a:srgbClr val="FF0000"/>
          </a:solidFill>
        </a:ln>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5</xdr:row>
      <xdr:rowOff>52917</xdr:rowOff>
    </xdr:from>
    <xdr:to>
      <xdr:col>10</xdr:col>
      <xdr:colOff>285750</xdr:colOff>
      <xdr:row>29</xdr:row>
      <xdr:rowOff>13643</xdr:rowOff>
    </xdr:to>
    <xdr:pic>
      <xdr:nvPicPr>
        <xdr:cNvPr id="2" name="Picture 1">
          <a:extLst>
            <a:ext uri="{FF2B5EF4-FFF2-40B4-BE49-F238E27FC236}">
              <a16:creationId xmlns:a16="http://schemas.microsoft.com/office/drawing/2014/main" id="{13EDE536-7FFD-9B97-ACF6-C6EB8C8069FB}"/>
            </a:ext>
          </a:extLst>
        </xdr:cNvPr>
        <xdr:cNvPicPr>
          <a:picLocks noChangeAspect="1"/>
        </xdr:cNvPicPr>
      </xdr:nvPicPr>
      <xdr:blipFill>
        <a:blip xmlns:r="http://schemas.openxmlformats.org/officeDocument/2006/relationships" r:embed="rId1"/>
        <a:stretch>
          <a:fillRect/>
        </a:stretch>
      </xdr:blipFill>
      <xdr:spPr>
        <a:xfrm>
          <a:off x="211667" y="952500"/>
          <a:ext cx="5196416" cy="4278726"/>
        </a:xfrm>
        <a:prstGeom prst="rect">
          <a:avLst/>
        </a:prstGeom>
      </xdr:spPr>
    </xdr:pic>
    <xdr:clientData/>
  </xdr:twoCellAnchor>
  <xdr:twoCellAnchor editAs="oneCell">
    <xdr:from>
      <xdr:col>2</xdr:col>
      <xdr:colOff>317500</xdr:colOff>
      <xdr:row>29</xdr:row>
      <xdr:rowOff>0</xdr:rowOff>
    </xdr:from>
    <xdr:to>
      <xdr:col>10</xdr:col>
      <xdr:colOff>526454</xdr:colOff>
      <xdr:row>46</xdr:row>
      <xdr:rowOff>137340</xdr:rowOff>
    </xdr:to>
    <xdr:pic>
      <xdr:nvPicPr>
        <xdr:cNvPr id="3" name="Picture 2">
          <a:extLst>
            <a:ext uri="{FF2B5EF4-FFF2-40B4-BE49-F238E27FC236}">
              <a16:creationId xmlns:a16="http://schemas.microsoft.com/office/drawing/2014/main" id="{4F5DA591-9F2B-C132-95A5-C02EE13637F4}"/>
            </a:ext>
          </a:extLst>
        </xdr:cNvPr>
        <xdr:cNvPicPr>
          <a:picLocks noChangeAspect="1"/>
        </xdr:cNvPicPr>
      </xdr:nvPicPr>
      <xdr:blipFill>
        <a:blip xmlns:r="http://schemas.openxmlformats.org/officeDocument/2006/relationships" r:embed="rId2"/>
        <a:stretch>
          <a:fillRect/>
        </a:stretch>
      </xdr:blipFill>
      <xdr:spPr>
        <a:xfrm>
          <a:off x="1536700" y="5340350"/>
          <a:ext cx="5085754" cy="3267890"/>
        </a:xfrm>
        <a:prstGeom prst="rect">
          <a:avLst/>
        </a:prstGeom>
      </xdr:spPr>
    </xdr:pic>
    <xdr:clientData/>
  </xdr:twoCellAnchor>
  <xdr:twoCellAnchor>
    <xdr:from>
      <xdr:col>2</xdr:col>
      <xdr:colOff>328083</xdr:colOff>
      <xdr:row>23</xdr:row>
      <xdr:rowOff>10584</xdr:rowOff>
    </xdr:from>
    <xdr:to>
      <xdr:col>10</xdr:col>
      <xdr:colOff>264584</xdr:colOff>
      <xdr:row>29</xdr:row>
      <xdr:rowOff>21167</xdr:rowOff>
    </xdr:to>
    <xdr:sp macro="" textlink="">
      <xdr:nvSpPr>
        <xdr:cNvPr id="4" name="Rectangle: Rounded Corners 3">
          <a:extLst>
            <a:ext uri="{FF2B5EF4-FFF2-40B4-BE49-F238E27FC236}">
              <a16:creationId xmlns:a16="http://schemas.microsoft.com/office/drawing/2014/main" id="{4F6556D7-CAA6-307B-2D8A-F6829AD5E90E}"/>
            </a:ext>
          </a:extLst>
        </xdr:cNvPr>
        <xdr:cNvSpPr/>
      </xdr:nvSpPr>
      <xdr:spPr>
        <a:xfrm>
          <a:off x="539750" y="4148667"/>
          <a:ext cx="4847167" cy="1090083"/>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556260</xdr:colOff>
      <xdr:row>4</xdr:row>
      <xdr:rowOff>15240</xdr:rowOff>
    </xdr:from>
    <xdr:to>
      <xdr:col>21</xdr:col>
      <xdr:colOff>322774</xdr:colOff>
      <xdr:row>50</xdr:row>
      <xdr:rowOff>12065</xdr:rowOff>
    </xdr:to>
    <xdr:pic>
      <xdr:nvPicPr>
        <xdr:cNvPr id="2" name="Picture 1">
          <a:extLst>
            <a:ext uri="{FF2B5EF4-FFF2-40B4-BE49-F238E27FC236}">
              <a16:creationId xmlns:a16="http://schemas.microsoft.com/office/drawing/2014/main" id="{F6C7B453-C9A5-CB35-58D1-3B6F23399D52}"/>
            </a:ext>
          </a:extLst>
        </xdr:cNvPr>
        <xdr:cNvPicPr>
          <a:picLocks noChangeAspect="1"/>
        </xdr:cNvPicPr>
      </xdr:nvPicPr>
      <xdr:blipFill>
        <a:blip xmlns:r="http://schemas.openxmlformats.org/officeDocument/2006/relationships" r:embed="rId1"/>
        <a:stretch>
          <a:fillRect/>
        </a:stretch>
      </xdr:blipFill>
      <xdr:spPr>
        <a:xfrm>
          <a:off x="556260" y="746760"/>
          <a:ext cx="5811714" cy="8412480"/>
        </a:xfrm>
        <a:prstGeom prst="rect">
          <a:avLst/>
        </a:prstGeom>
      </xdr:spPr>
    </xdr:pic>
    <xdr:clientData/>
  </xdr:twoCellAnchor>
  <xdr:twoCellAnchor editAs="oneCell">
    <xdr:from>
      <xdr:col>21</xdr:col>
      <xdr:colOff>563879</xdr:colOff>
      <xdr:row>4</xdr:row>
      <xdr:rowOff>15240</xdr:rowOff>
    </xdr:from>
    <xdr:to>
      <xdr:col>31</xdr:col>
      <xdr:colOff>542939</xdr:colOff>
      <xdr:row>49</xdr:row>
      <xdr:rowOff>164465</xdr:rowOff>
    </xdr:to>
    <xdr:pic>
      <xdr:nvPicPr>
        <xdr:cNvPr id="3" name="Picture 2">
          <a:extLst>
            <a:ext uri="{FF2B5EF4-FFF2-40B4-BE49-F238E27FC236}">
              <a16:creationId xmlns:a16="http://schemas.microsoft.com/office/drawing/2014/main" id="{6AA16573-D0F7-8878-F87F-0D0D1612588C}"/>
            </a:ext>
          </a:extLst>
        </xdr:cNvPr>
        <xdr:cNvPicPr>
          <a:picLocks noChangeAspect="1"/>
        </xdr:cNvPicPr>
      </xdr:nvPicPr>
      <xdr:blipFill>
        <a:blip xmlns:r="http://schemas.openxmlformats.org/officeDocument/2006/relationships" r:embed="rId2"/>
        <a:stretch>
          <a:fillRect/>
        </a:stretch>
      </xdr:blipFill>
      <xdr:spPr>
        <a:xfrm>
          <a:off x="6304279" y="726440"/>
          <a:ext cx="6078235" cy="8153400"/>
        </a:xfrm>
        <a:prstGeom prst="rect">
          <a:avLst/>
        </a:prstGeom>
      </xdr:spPr>
    </xdr:pic>
    <xdr:clientData/>
  </xdr:twoCellAnchor>
  <xdr:twoCellAnchor editAs="oneCell">
    <xdr:from>
      <xdr:col>32</xdr:col>
      <xdr:colOff>307340</xdr:colOff>
      <xdr:row>54</xdr:row>
      <xdr:rowOff>53340</xdr:rowOff>
    </xdr:from>
    <xdr:to>
      <xdr:col>41</xdr:col>
      <xdr:colOff>257175</xdr:colOff>
      <xdr:row>96</xdr:row>
      <xdr:rowOff>84627</xdr:rowOff>
    </xdr:to>
    <xdr:pic>
      <xdr:nvPicPr>
        <xdr:cNvPr id="4" name="Picture 3">
          <a:extLst>
            <a:ext uri="{FF2B5EF4-FFF2-40B4-BE49-F238E27FC236}">
              <a16:creationId xmlns:a16="http://schemas.microsoft.com/office/drawing/2014/main" id="{923C8E37-1F77-C2CD-3913-540B07C5D68B}"/>
            </a:ext>
          </a:extLst>
        </xdr:cNvPr>
        <xdr:cNvPicPr>
          <a:picLocks noChangeAspect="1"/>
        </xdr:cNvPicPr>
      </xdr:nvPicPr>
      <xdr:blipFill>
        <a:blip xmlns:r="http://schemas.openxmlformats.org/officeDocument/2006/relationships" r:embed="rId3"/>
        <a:stretch>
          <a:fillRect/>
        </a:stretch>
      </xdr:blipFill>
      <xdr:spPr>
        <a:xfrm>
          <a:off x="12753340" y="9654540"/>
          <a:ext cx="5433060" cy="7495712"/>
        </a:xfrm>
        <a:prstGeom prst="rect">
          <a:avLst/>
        </a:prstGeom>
      </xdr:spPr>
    </xdr:pic>
    <xdr:clientData/>
  </xdr:twoCellAnchor>
  <xdr:twoCellAnchor editAs="oneCell">
    <xdr:from>
      <xdr:col>32</xdr:col>
      <xdr:colOff>355600</xdr:colOff>
      <xdr:row>4</xdr:row>
      <xdr:rowOff>0</xdr:rowOff>
    </xdr:from>
    <xdr:to>
      <xdr:col>42</xdr:col>
      <xdr:colOff>201081</xdr:colOff>
      <xdr:row>49</xdr:row>
      <xdr:rowOff>178435</xdr:rowOff>
    </xdr:to>
    <xdr:pic>
      <xdr:nvPicPr>
        <xdr:cNvPr id="5" name="Picture 4">
          <a:extLst>
            <a:ext uri="{FF2B5EF4-FFF2-40B4-BE49-F238E27FC236}">
              <a16:creationId xmlns:a16="http://schemas.microsoft.com/office/drawing/2014/main" id="{846F9F45-52D2-5456-B898-13D75F19CB52}"/>
            </a:ext>
          </a:extLst>
        </xdr:cNvPr>
        <xdr:cNvPicPr>
          <a:picLocks noChangeAspect="1"/>
        </xdr:cNvPicPr>
      </xdr:nvPicPr>
      <xdr:blipFill>
        <a:blip xmlns:r="http://schemas.openxmlformats.org/officeDocument/2006/relationships" r:embed="rId4"/>
        <a:stretch>
          <a:fillRect/>
        </a:stretch>
      </xdr:blipFill>
      <xdr:spPr>
        <a:xfrm>
          <a:off x="12801600" y="711200"/>
          <a:ext cx="5944656" cy="8176260"/>
        </a:xfrm>
        <a:prstGeom prst="rect">
          <a:avLst/>
        </a:prstGeom>
      </xdr:spPr>
    </xdr:pic>
    <xdr:clientData/>
  </xdr:twoCellAnchor>
  <xdr:twoCellAnchor editAs="oneCell">
    <xdr:from>
      <xdr:col>43</xdr:col>
      <xdr:colOff>114300</xdr:colOff>
      <xdr:row>4</xdr:row>
      <xdr:rowOff>12700</xdr:rowOff>
    </xdr:from>
    <xdr:to>
      <xdr:col>52</xdr:col>
      <xdr:colOff>571500</xdr:colOff>
      <xdr:row>50</xdr:row>
      <xdr:rowOff>10451</xdr:rowOff>
    </xdr:to>
    <xdr:pic>
      <xdr:nvPicPr>
        <xdr:cNvPr id="6" name="Picture 5">
          <a:extLst>
            <a:ext uri="{FF2B5EF4-FFF2-40B4-BE49-F238E27FC236}">
              <a16:creationId xmlns:a16="http://schemas.microsoft.com/office/drawing/2014/main" id="{FBC16C2A-7134-0E1E-C03D-A612A020A3C8}"/>
            </a:ext>
          </a:extLst>
        </xdr:cNvPr>
        <xdr:cNvPicPr>
          <a:picLocks noChangeAspect="1"/>
        </xdr:cNvPicPr>
      </xdr:nvPicPr>
      <xdr:blipFill>
        <a:blip xmlns:r="http://schemas.openxmlformats.org/officeDocument/2006/relationships" r:embed="rId5"/>
        <a:stretch>
          <a:fillRect/>
        </a:stretch>
      </xdr:blipFill>
      <xdr:spPr>
        <a:xfrm>
          <a:off x="19265900" y="723900"/>
          <a:ext cx="5943600" cy="8179726"/>
        </a:xfrm>
        <a:prstGeom prst="rect">
          <a:avLst/>
        </a:prstGeom>
      </xdr:spPr>
    </xdr:pic>
    <xdr:clientData/>
  </xdr:twoCellAnchor>
  <xdr:twoCellAnchor editAs="oneCell">
    <xdr:from>
      <xdr:col>54</xdr:col>
      <xdr:colOff>114300</xdr:colOff>
      <xdr:row>4</xdr:row>
      <xdr:rowOff>76200</xdr:rowOff>
    </xdr:from>
    <xdr:to>
      <xdr:col>64</xdr:col>
      <xdr:colOff>25615</xdr:colOff>
      <xdr:row>50</xdr:row>
      <xdr:rowOff>35560</xdr:rowOff>
    </xdr:to>
    <xdr:pic>
      <xdr:nvPicPr>
        <xdr:cNvPr id="7" name="Picture 6">
          <a:extLst>
            <a:ext uri="{FF2B5EF4-FFF2-40B4-BE49-F238E27FC236}">
              <a16:creationId xmlns:a16="http://schemas.microsoft.com/office/drawing/2014/main" id="{80E36ACE-0643-2833-143E-AF5C4B75243A}"/>
            </a:ext>
          </a:extLst>
        </xdr:cNvPr>
        <xdr:cNvPicPr>
          <a:picLocks noChangeAspect="1"/>
        </xdr:cNvPicPr>
      </xdr:nvPicPr>
      <xdr:blipFill>
        <a:blip xmlns:r="http://schemas.openxmlformats.org/officeDocument/2006/relationships" r:embed="rId6"/>
        <a:stretch>
          <a:fillRect/>
        </a:stretch>
      </xdr:blipFill>
      <xdr:spPr>
        <a:xfrm>
          <a:off x="25971500" y="787400"/>
          <a:ext cx="6010490" cy="8138160"/>
        </a:xfrm>
        <a:prstGeom prst="rect">
          <a:avLst/>
        </a:prstGeom>
      </xdr:spPr>
    </xdr:pic>
    <xdr:clientData/>
  </xdr:twoCellAnchor>
  <xdr:twoCellAnchor editAs="oneCell">
    <xdr:from>
      <xdr:col>64</xdr:col>
      <xdr:colOff>571500</xdr:colOff>
      <xdr:row>4</xdr:row>
      <xdr:rowOff>88900</xdr:rowOff>
    </xdr:from>
    <xdr:to>
      <xdr:col>74</xdr:col>
      <xdr:colOff>407153</xdr:colOff>
      <xdr:row>50</xdr:row>
      <xdr:rowOff>96520</xdr:rowOff>
    </xdr:to>
    <xdr:pic>
      <xdr:nvPicPr>
        <xdr:cNvPr id="8" name="Picture 7">
          <a:extLst>
            <a:ext uri="{FF2B5EF4-FFF2-40B4-BE49-F238E27FC236}">
              <a16:creationId xmlns:a16="http://schemas.microsoft.com/office/drawing/2014/main" id="{E5ED9D07-7C05-2880-CF45-852B7FE5769C}"/>
            </a:ext>
          </a:extLst>
        </xdr:cNvPr>
        <xdr:cNvPicPr>
          <a:picLocks noChangeAspect="1"/>
        </xdr:cNvPicPr>
      </xdr:nvPicPr>
      <xdr:blipFill>
        <a:blip xmlns:r="http://schemas.openxmlformats.org/officeDocument/2006/relationships" r:embed="rId7"/>
        <a:stretch>
          <a:fillRect/>
        </a:stretch>
      </xdr:blipFill>
      <xdr:spPr>
        <a:xfrm>
          <a:off x="32524700" y="800100"/>
          <a:ext cx="5934828" cy="8186420"/>
        </a:xfrm>
        <a:prstGeom prst="rect">
          <a:avLst/>
        </a:prstGeom>
      </xdr:spPr>
    </xdr:pic>
    <xdr:clientData/>
  </xdr:twoCellAnchor>
  <xdr:twoCellAnchor editAs="oneCell">
    <xdr:from>
      <xdr:col>76</xdr:col>
      <xdr:colOff>220980</xdr:colOff>
      <xdr:row>4</xdr:row>
      <xdr:rowOff>99060</xdr:rowOff>
    </xdr:from>
    <xdr:to>
      <xdr:col>86</xdr:col>
      <xdr:colOff>9499</xdr:colOff>
      <xdr:row>50</xdr:row>
      <xdr:rowOff>142875</xdr:rowOff>
    </xdr:to>
    <xdr:pic>
      <xdr:nvPicPr>
        <xdr:cNvPr id="9" name="Picture 8">
          <a:extLst>
            <a:ext uri="{FF2B5EF4-FFF2-40B4-BE49-F238E27FC236}">
              <a16:creationId xmlns:a16="http://schemas.microsoft.com/office/drawing/2014/main" id="{D1AB9EC8-0CD8-467E-A969-F037B1C050AA}"/>
            </a:ext>
          </a:extLst>
        </xdr:cNvPr>
        <xdr:cNvPicPr>
          <a:picLocks noChangeAspect="1"/>
        </xdr:cNvPicPr>
      </xdr:nvPicPr>
      <xdr:blipFill>
        <a:blip xmlns:r="http://schemas.openxmlformats.org/officeDocument/2006/relationships" r:embed="rId8"/>
        <a:stretch>
          <a:fillRect/>
        </a:stretch>
      </xdr:blipFill>
      <xdr:spPr>
        <a:xfrm>
          <a:off x="39489380" y="810260"/>
          <a:ext cx="5881344" cy="8219440"/>
        </a:xfrm>
        <a:prstGeom prst="rect">
          <a:avLst/>
        </a:prstGeom>
      </xdr:spPr>
    </xdr:pic>
    <xdr:clientData/>
  </xdr:twoCellAnchor>
  <xdr:twoCellAnchor editAs="oneCell">
    <xdr:from>
      <xdr:col>86</xdr:col>
      <xdr:colOff>228599</xdr:colOff>
      <xdr:row>4</xdr:row>
      <xdr:rowOff>63500</xdr:rowOff>
    </xdr:from>
    <xdr:to>
      <xdr:col>96</xdr:col>
      <xdr:colOff>122426</xdr:colOff>
      <xdr:row>50</xdr:row>
      <xdr:rowOff>152400</xdr:rowOff>
    </xdr:to>
    <xdr:pic>
      <xdr:nvPicPr>
        <xdr:cNvPr id="10" name="Picture 9">
          <a:extLst>
            <a:ext uri="{FF2B5EF4-FFF2-40B4-BE49-F238E27FC236}">
              <a16:creationId xmlns:a16="http://schemas.microsoft.com/office/drawing/2014/main" id="{F3882834-6483-6D6A-F9BF-93D2786784EB}"/>
            </a:ext>
          </a:extLst>
        </xdr:cNvPr>
        <xdr:cNvPicPr>
          <a:picLocks noChangeAspect="1"/>
        </xdr:cNvPicPr>
      </xdr:nvPicPr>
      <xdr:blipFill>
        <a:blip xmlns:r="http://schemas.openxmlformats.org/officeDocument/2006/relationships" r:embed="rId9"/>
        <a:stretch>
          <a:fillRect/>
        </a:stretch>
      </xdr:blipFill>
      <xdr:spPr>
        <a:xfrm>
          <a:off x="45592999" y="774700"/>
          <a:ext cx="5993002" cy="8267700"/>
        </a:xfrm>
        <a:prstGeom prst="rect">
          <a:avLst/>
        </a:prstGeom>
      </xdr:spPr>
    </xdr:pic>
    <xdr:clientData/>
  </xdr:twoCellAnchor>
  <xdr:twoCellAnchor editAs="oneCell">
    <xdr:from>
      <xdr:col>97</xdr:col>
      <xdr:colOff>181804</xdr:colOff>
      <xdr:row>4</xdr:row>
      <xdr:rowOff>127000</xdr:rowOff>
    </xdr:from>
    <xdr:to>
      <xdr:col>107</xdr:col>
      <xdr:colOff>102368</xdr:colOff>
      <xdr:row>50</xdr:row>
      <xdr:rowOff>125095</xdr:rowOff>
    </xdr:to>
    <xdr:pic>
      <xdr:nvPicPr>
        <xdr:cNvPr id="11" name="Picture 10">
          <a:extLst>
            <a:ext uri="{FF2B5EF4-FFF2-40B4-BE49-F238E27FC236}">
              <a16:creationId xmlns:a16="http://schemas.microsoft.com/office/drawing/2014/main" id="{63FDA36E-06BE-85F1-9ADE-C71EAE86A710}"/>
            </a:ext>
          </a:extLst>
        </xdr:cNvPr>
        <xdr:cNvPicPr>
          <a:picLocks noChangeAspect="1"/>
        </xdr:cNvPicPr>
      </xdr:nvPicPr>
      <xdr:blipFill>
        <a:blip xmlns:r="http://schemas.openxmlformats.org/officeDocument/2006/relationships" r:embed="rId10"/>
        <a:stretch>
          <a:fillRect/>
        </a:stretch>
      </xdr:blipFill>
      <xdr:spPr>
        <a:xfrm>
          <a:off x="52249264" y="949960"/>
          <a:ext cx="6019739" cy="8407400"/>
        </a:xfrm>
        <a:prstGeom prst="rect">
          <a:avLst/>
        </a:prstGeom>
      </xdr:spPr>
    </xdr:pic>
    <xdr:clientData/>
  </xdr:twoCellAnchor>
  <xdr:twoCellAnchor editAs="oneCell">
    <xdr:from>
      <xdr:col>108</xdr:col>
      <xdr:colOff>106073</xdr:colOff>
      <xdr:row>4</xdr:row>
      <xdr:rowOff>127000</xdr:rowOff>
    </xdr:from>
    <xdr:to>
      <xdr:col>117</xdr:col>
      <xdr:colOff>525413</xdr:colOff>
      <xdr:row>50</xdr:row>
      <xdr:rowOff>88265</xdr:rowOff>
    </xdr:to>
    <xdr:pic>
      <xdr:nvPicPr>
        <xdr:cNvPr id="12" name="Picture 11">
          <a:extLst>
            <a:ext uri="{FF2B5EF4-FFF2-40B4-BE49-F238E27FC236}">
              <a16:creationId xmlns:a16="http://schemas.microsoft.com/office/drawing/2014/main" id="{1C3D4A0B-F72A-A384-E06E-73C00ABE70F1}"/>
            </a:ext>
          </a:extLst>
        </xdr:cNvPr>
        <xdr:cNvPicPr>
          <a:picLocks noChangeAspect="1"/>
        </xdr:cNvPicPr>
      </xdr:nvPicPr>
      <xdr:blipFill>
        <a:blip xmlns:r="http://schemas.openxmlformats.org/officeDocument/2006/relationships" r:embed="rId11"/>
        <a:stretch>
          <a:fillRect/>
        </a:stretch>
      </xdr:blipFill>
      <xdr:spPr>
        <a:xfrm>
          <a:off x="58879133" y="949960"/>
          <a:ext cx="5908915" cy="8376920"/>
        </a:xfrm>
        <a:prstGeom prst="rect">
          <a:avLst/>
        </a:prstGeom>
      </xdr:spPr>
    </xdr:pic>
    <xdr:clientData/>
  </xdr:twoCellAnchor>
  <xdr:twoCellAnchor editAs="oneCell">
    <xdr:from>
      <xdr:col>119</xdr:col>
      <xdr:colOff>465092</xdr:colOff>
      <xdr:row>4</xdr:row>
      <xdr:rowOff>27939</xdr:rowOff>
    </xdr:from>
    <xdr:to>
      <xdr:col>129</xdr:col>
      <xdr:colOff>333375</xdr:colOff>
      <xdr:row>50</xdr:row>
      <xdr:rowOff>141605</xdr:rowOff>
    </xdr:to>
    <xdr:pic>
      <xdr:nvPicPr>
        <xdr:cNvPr id="13" name="Picture 12">
          <a:extLst>
            <a:ext uri="{FF2B5EF4-FFF2-40B4-BE49-F238E27FC236}">
              <a16:creationId xmlns:a16="http://schemas.microsoft.com/office/drawing/2014/main" id="{A5BBE2AD-0E21-8240-35BB-40BC3EA6E322}"/>
            </a:ext>
          </a:extLst>
        </xdr:cNvPr>
        <xdr:cNvPicPr>
          <a:picLocks noChangeAspect="1"/>
        </xdr:cNvPicPr>
      </xdr:nvPicPr>
      <xdr:blipFill>
        <a:blip xmlns:r="http://schemas.openxmlformats.org/officeDocument/2006/relationships" r:embed="rId12"/>
        <a:stretch>
          <a:fillRect/>
        </a:stretch>
      </xdr:blipFill>
      <xdr:spPr>
        <a:xfrm>
          <a:off x="65943752" y="850899"/>
          <a:ext cx="5961108" cy="8529321"/>
        </a:xfrm>
        <a:prstGeom prst="rect">
          <a:avLst/>
        </a:prstGeom>
      </xdr:spPr>
    </xdr:pic>
    <xdr:clientData/>
  </xdr:twoCellAnchor>
  <xdr:twoCellAnchor editAs="oneCell">
    <xdr:from>
      <xdr:col>12</xdr:col>
      <xdr:colOff>0</xdr:colOff>
      <xdr:row>55</xdr:row>
      <xdr:rowOff>0</xdr:rowOff>
    </xdr:from>
    <xdr:to>
      <xdr:col>21</xdr:col>
      <xdr:colOff>368935</xdr:colOff>
      <xdr:row>87</xdr:row>
      <xdr:rowOff>163508</xdr:rowOff>
    </xdr:to>
    <xdr:pic>
      <xdr:nvPicPr>
        <xdr:cNvPr id="14" name="Picture 13">
          <a:extLst>
            <a:ext uri="{FF2B5EF4-FFF2-40B4-BE49-F238E27FC236}">
              <a16:creationId xmlns:a16="http://schemas.microsoft.com/office/drawing/2014/main" id="{E05EA6F1-1392-B989-9410-60D29F737E68}"/>
            </a:ext>
          </a:extLst>
        </xdr:cNvPr>
        <xdr:cNvPicPr>
          <a:picLocks noChangeAspect="1"/>
        </xdr:cNvPicPr>
      </xdr:nvPicPr>
      <xdr:blipFill>
        <a:blip xmlns:r="http://schemas.openxmlformats.org/officeDocument/2006/relationships" r:embed="rId13"/>
        <a:stretch>
          <a:fillRect/>
        </a:stretch>
      </xdr:blipFill>
      <xdr:spPr>
        <a:xfrm>
          <a:off x="251460" y="10058400"/>
          <a:ext cx="5852160" cy="6012493"/>
        </a:xfrm>
        <a:prstGeom prst="rect">
          <a:avLst/>
        </a:prstGeom>
      </xdr:spPr>
    </xdr:pic>
    <xdr:clientData/>
  </xdr:twoCellAnchor>
  <xdr:twoCellAnchor editAs="oneCell">
    <xdr:from>
      <xdr:col>12</xdr:col>
      <xdr:colOff>114300</xdr:colOff>
      <xdr:row>100</xdr:row>
      <xdr:rowOff>22860</xdr:rowOff>
    </xdr:from>
    <xdr:to>
      <xdr:col>21</xdr:col>
      <xdr:colOff>269444</xdr:colOff>
      <xdr:row>142</xdr:row>
      <xdr:rowOff>178435</xdr:rowOff>
    </xdr:to>
    <xdr:pic>
      <xdr:nvPicPr>
        <xdr:cNvPr id="15" name="Picture 14">
          <a:extLst>
            <a:ext uri="{FF2B5EF4-FFF2-40B4-BE49-F238E27FC236}">
              <a16:creationId xmlns:a16="http://schemas.microsoft.com/office/drawing/2014/main" id="{D7428759-B15E-F32B-2997-C4507D6D046A}"/>
            </a:ext>
          </a:extLst>
        </xdr:cNvPr>
        <xdr:cNvPicPr>
          <a:picLocks noChangeAspect="1"/>
        </xdr:cNvPicPr>
      </xdr:nvPicPr>
      <xdr:blipFill>
        <a:blip xmlns:r="http://schemas.openxmlformats.org/officeDocument/2006/relationships" r:embed="rId14"/>
        <a:stretch>
          <a:fillRect/>
        </a:stretch>
      </xdr:blipFill>
      <xdr:spPr>
        <a:xfrm>
          <a:off x="365760" y="18310860"/>
          <a:ext cx="5641544" cy="7833360"/>
        </a:xfrm>
        <a:prstGeom prst="rect">
          <a:avLst/>
        </a:prstGeom>
      </xdr:spPr>
    </xdr:pic>
    <xdr:clientData/>
  </xdr:twoCellAnchor>
  <xdr:twoCellAnchor editAs="oneCell">
    <xdr:from>
      <xdr:col>32</xdr:col>
      <xdr:colOff>312420</xdr:colOff>
      <xdr:row>100</xdr:row>
      <xdr:rowOff>68579</xdr:rowOff>
    </xdr:from>
    <xdr:to>
      <xdr:col>41</xdr:col>
      <xdr:colOff>228600</xdr:colOff>
      <xdr:row>142</xdr:row>
      <xdr:rowOff>164557</xdr:rowOff>
    </xdr:to>
    <xdr:pic>
      <xdr:nvPicPr>
        <xdr:cNvPr id="16" name="Picture 15">
          <a:extLst>
            <a:ext uri="{FF2B5EF4-FFF2-40B4-BE49-F238E27FC236}">
              <a16:creationId xmlns:a16="http://schemas.microsoft.com/office/drawing/2014/main" id="{867A9925-6464-68BC-7848-4068ED327F48}"/>
            </a:ext>
          </a:extLst>
        </xdr:cNvPr>
        <xdr:cNvPicPr>
          <a:picLocks noChangeAspect="1"/>
        </xdr:cNvPicPr>
      </xdr:nvPicPr>
      <xdr:blipFill>
        <a:blip xmlns:r="http://schemas.openxmlformats.org/officeDocument/2006/relationships" r:embed="rId15"/>
        <a:stretch>
          <a:fillRect/>
        </a:stretch>
      </xdr:blipFill>
      <xdr:spPr>
        <a:xfrm>
          <a:off x="12755880" y="18356579"/>
          <a:ext cx="5402580" cy="7773763"/>
        </a:xfrm>
        <a:prstGeom prst="rect">
          <a:avLst/>
        </a:prstGeom>
      </xdr:spPr>
    </xdr:pic>
    <xdr:clientData/>
  </xdr:twoCellAnchor>
  <xdr:twoCellAnchor editAs="oneCell">
    <xdr:from>
      <xdr:col>43</xdr:col>
      <xdr:colOff>121920</xdr:colOff>
      <xdr:row>100</xdr:row>
      <xdr:rowOff>53340</xdr:rowOff>
    </xdr:from>
    <xdr:to>
      <xdr:col>52</xdr:col>
      <xdr:colOff>164465</xdr:colOff>
      <xdr:row>142</xdr:row>
      <xdr:rowOff>135943</xdr:rowOff>
    </xdr:to>
    <xdr:pic>
      <xdr:nvPicPr>
        <xdr:cNvPr id="17" name="Picture 16">
          <a:extLst>
            <a:ext uri="{FF2B5EF4-FFF2-40B4-BE49-F238E27FC236}">
              <a16:creationId xmlns:a16="http://schemas.microsoft.com/office/drawing/2014/main" id="{7DF2D7A9-178E-95E9-4D5E-3031580BC431}"/>
            </a:ext>
          </a:extLst>
        </xdr:cNvPr>
        <xdr:cNvPicPr>
          <a:picLocks noChangeAspect="1"/>
        </xdr:cNvPicPr>
      </xdr:nvPicPr>
      <xdr:blipFill>
        <a:blip xmlns:r="http://schemas.openxmlformats.org/officeDocument/2006/relationships" r:embed="rId16"/>
        <a:stretch>
          <a:fillRect/>
        </a:stretch>
      </xdr:blipFill>
      <xdr:spPr>
        <a:xfrm>
          <a:off x="19270980" y="18341340"/>
          <a:ext cx="5532120" cy="7763563"/>
        </a:xfrm>
        <a:prstGeom prst="rect">
          <a:avLst/>
        </a:prstGeom>
      </xdr:spPr>
    </xdr:pic>
    <xdr:clientData/>
  </xdr:twoCellAnchor>
  <xdr:twoCellAnchor editAs="oneCell">
    <xdr:from>
      <xdr:col>54</xdr:col>
      <xdr:colOff>0</xdr:colOff>
      <xdr:row>100</xdr:row>
      <xdr:rowOff>0</xdr:rowOff>
    </xdr:from>
    <xdr:to>
      <xdr:col>63</xdr:col>
      <xdr:colOff>64135</xdr:colOff>
      <xdr:row>142</xdr:row>
      <xdr:rowOff>179397</xdr:rowOff>
    </xdr:to>
    <xdr:pic>
      <xdr:nvPicPr>
        <xdr:cNvPr id="18" name="Picture 17">
          <a:extLst>
            <a:ext uri="{FF2B5EF4-FFF2-40B4-BE49-F238E27FC236}">
              <a16:creationId xmlns:a16="http://schemas.microsoft.com/office/drawing/2014/main" id="{EB69FA0C-BEE7-DB30-B944-7A6BD08819BB}"/>
            </a:ext>
          </a:extLst>
        </xdr:cNvPr>
        <xdr:cNvPicPr>
          <a:picLocks noChangeAspect="1"/>
        </xdr:cNvPicPr>
      </xdr:nvPicPr>
      <xdr:blipFill>
        <a:blip xmlns:r="http://schemas.openxmlformats.org/officeDocument/2006/relationships" r:embed="rId17"/>
        <a:stretch>
          <a:fillRect/>
        </a:stretch>
      </xdr:blipFill>
      <xdr:spPr>
        <a:xfrm>
          <a:off x="25854660" y="18288000"/>
          <a:ext cx="5547360" cy="7857182"/>
        </a:xfrm>
        <a:prstGeom prst="rect">
          <a:avLst/>
        </a:prstGeom>
      </xdr:spPr>
    </xdr:pic>
    <xdr:clientData/>
  </xdr:twoCellAnchor>
  <xdr:twoCellAnchor editAs="oneCell">
    <xdr:from>
      <xdr:col>65</xdr:col>
      <xdr:colOff>0</xdr:colOff>
      <xdr:row>100</xdr:row>
      <xdr:rowOff>0</xdr:rowOff>
    </xdr:from>
    <xdr:to>
      <xdr:col>73</xdr:col>
      <xdr:colOff>571500</xdr:colOff>
      <xdr:row>142</xdr:row>
      <xdr:rowOff>179486</xdr:rowOff>
    </xdr:to>
    <xdr:pic>
      <xdr:nvPicPr>
        <xdr:cNvPr id="19" name="Picture 18">
          <a:extLst>
            <a:ext uri="{FF2B5EF4-FFF2-40B4-BE49-F238E27FC236}">
              <a16:creationId xmlns:a16="http://schemas.microsoft.com/office/drawing/2014/main" id="{7880FEC7-DF37-FB5B-6784-1C5A84FFC171}"/>
            </a:ext>
          </a:extLst>
        </xdr:cNvPr>
        <xdr:cNvPicPr>
          <a:picLocks noChangeAspect="1"/>
        </xdr:cNvPicPr>
      </xdr:nvPicPr>
      <xdr:blipFill>
        <a:blip xmlns:r="http://schemas.openxmlformats.org/officeDocument/2006/relationships" r:embed="rId18"/>
        <a:stretch>
          <a:fillRect/>
        </a:stretch>
      </xdr:blipFill>
      <xdr:spPr>
        <a:xfrm>
          <a:off x="32560260" y="18288000"/>
          <a:ext cx="5448300" cy="7863621"/>
        </a:xfrm>
        <a:prstGeom prst="rect">
          <a:avLst/>
        </a:prstGeom>
      </xdr:spPr>
    </xdr:pic>
    <xdr:clientData/>
  </xdr:twoCellAnchor>
  <xdr:twoCellAnchor editAs="oneCell">
    <xdr:from>
      <xdr:col>76</xdr:col>
      <xdr:colOff>0</xdr:colOff>
      <xdr:row>100</xdr:row>
      <xdr:rowOff>0</xdr:rowOff>
    </xdr:from>
    <xdr:to>
      <xdr:col>84</xdr:col>
      <xdr:colOff>419100</xdr:colOff>
      <xdr:row>142</xdr:row>
      <xdr:rowOff>143433</xdr:rowOff>
    </xdr:to>
    <xdr:pic>
      <xdr:nvPicPr>
        <xdr:cNvPr id="20" name="Picture 19">
          <a:extLst>
            <a:ext uri="{FF2B5EF4-FFF2-40B4-BE49-F238E27FC236}">
              <a16:creationId xmlns:a16="http://schemas.microsoft.com/office/drawing/2014/main" id="{4497D68A-CE69-714B-C9BD-709FC24AB064}"/>
            </a:ext>
          </a:extLst>
        </xdr:cNvPr>
        <xdr:cNvPicPr>
          <a:picLocks noChangeAspect="1"/>
        </xdr:cNvPicPr>
      </xdr:nvPicPr>
      <xdr:blipFill>
        <a:blip xmlns:r="http://schemas.openxmlformats.org/officeDocument/2006/relationships" r:embed="rId19"/>
        <a:stretch>
          <a:fillRect/>
        </a:stretch>
      </xdr:blipFill>
      <xdr:spPr>
        <a:xfrm>
          <a:off x="39265860" y="18288000"/>
          <a:ext cx="5295900" cy="7821218"/>
        </a:xfrm>
        <a:prstGeom prst="rect">
          <a:avLst/>
        </a:prstGeom>
      </xdr:spPr>
    </xdr:pic>
    <xdr:clientData/>
  </xdr:twoCellAnchor>
  <xdr:twoCellAnchor editAs="oneCell">
    <xdr:from>
      <xdr:col>86</xdr:col>
      <xdr:colOff>0</xdr:colOff>
      <xdr:row>99</xdr:row>
      <xdr:rowOff>182879</xdr:rowOff>
    </xdr:from>
    <xdr:to>
      <xdr:col>94</xdr:col>
      <xdr:colOff>559435</xdr:colOff>
      <xdr:row>142</xdr:row>
      <xdr:rowOff>112286</xdr:rowOff>
    </xdr:to>
    <xdr:pic>
      <xdr:nvPicPr>
        <xdr:cNvPr id="21" name="Picture 20">
          <a:extLst>
            <a:ext uri="{FF2B5EF4-FFF2-40B4-BE49-F238E27FC236}">
              <a16:creationId xmlns:a16="http://schemas.microsoft.com/office/drawing/2014/main" id="{972890C7-8E86-5184-FB31-D5D654C789AC}"/>
            </a:ext>
          </a:extLst>
        </xdr:cNvPr>
        <xdr:cNvPicPr>
          <a:picLocks noChangeAspect="1"/>
        </xdr:cNvPicPr>
      </xdr:nvPicPr>
      <xdr:blipFill>
        <a:blip xmlns:r="http://schemas.openxmlformats.org/officeDocument/2006/relationships" r:embed="rId20"/>
        <a:stretch>
          <a:fillRect/>
        </a:stretch>
      </xdr:blipFill>
      <xdr:spPr>
        <a:xfrm>
          <a:off x="45361860" y="18287999"/>
          <a:ext cx="5433060" cy="7793247"/>
        </a:xfrm>
        <a:prstGeom prst="rect">
          <a:avLst/>
        </a:prstGeom>
      </xdr:spPr>
    </xdr:pic>
    <xdr:clientData/>
  </xdr:twoCellAnchor>
  <xdr:twoCellAnchor editAs="oneCell">
    <xdr:from>
      <xdr:col>97</xdr:col>
      <xdr:colOff>0</xdr:colOff>
      <xdr:row>100</xdr:row>
      <xdr:rowOff>0</xdr:rowOff>
    </xdr:from>
    <xdr:to>
      <xdr:col>105</xdr:col>
      <xdr:colOff>483235</xdr:colOff>
      <xdr:row>142</xdr:row>
      <xdr:rowOff>151838</xdr:rowOff>
    </xdr:to>
    <xdr:pic>
      <xdr:nvPicPr>
        <xdr:cNvPr id="22" name="Picture 21">
          <a:extLst>
            <a:ext uri="{FF2B5EF4-FFF2-40B4-BE49-F238E27FC236}">
              <a16:creationId xmlns:a16="http://schemas.microsoft.com/office/drawing/2014/main" id="{15FEF70B-21FC-B044-D0BE-564F8B48F503}"/>
            </a:ext>
          </a:extLst>
        </xdr:cNvPr>
        <xdr:cNvPicPr>
          <a:picLocks noChangeAspect="1"/>
        </xdr:cNvPicPr>
      </xdr:nvPicPr>
      <xdr:blipFill>
        <a:blip xmlns:r="http://schemas.openxmlformats.org/officeDocument/2006/relationships" r:embed="rId21"/>
        <a:stretch>
          <a:fillRect/>
        </a:stretch>
      </xdr:blipFill>
      <xdr:spPr>
        <a:xfrm>
          <a:off x="52067460" y="18288000"/>
          <a:ext cx="5356860" cy="7832798"/>
        </a:xfrm>
        <a:prstGeom prst="rect">
          <a:avLst/>
        </a:prstGeom>
      </xdr:spPr>
    </xdr:pic>
    <xdr:clientData/>
  </xdr:twoCellAnchor>
  <xdr:twoCellAnchor editAs="oneCell">
    <xdr:from>
      <xdr:col>108</xdr:col>
      <xdr:colOff>0</xdr:colOff>
      <xdr:row>100</xdr:row>
      <xdr:rowOff>0</xdr:rowOff>
    </xdr:from>
    <xdr:to>
      <xdr:col>117</xdr:col>
      <xdr:colOff>48895</xdr:colOff>
      <xdr:row>143</xdr:row>
      <xdr:rowOff>11779</xdr:rowOff>
    </xdr:to>
    <xdr:pic>
      <xdr:nvPicPr>
        <xdr:cNvPr id="23" name="Picture 22">
          <a:extLst>
            <a:ext uri="{FF2B5EF4-FFF2-40B4-BE49-F238E27FC236}">
              <a16:creationId xmlns:a16="http://schemas.microsoft.com/office/drawing/2014/main" id="{B6D29198-42FA-3147-BCCE-9E64680E0B7B}"/>
            </a:ext>
          </a:extLst>
        </xdr:cNvPr>
        <xdr:cNvPicPr>
          <a:picLocks noChangeAspect="1"/>
        </xdr:cNvPicPr>
      </xdr:nvPicPr>
      <xdr:blipFill>
        <a:blip xmlns:r="http://schemas.openxmlformats.org/officeDocument/2006/relationships" r:embed="rId22"/>
        <a:stretch>
          <a:fillRect/>
        </a:stretch>
      </xdr:blipFill>
      <xdr:spPr>
        <a:xfrm>
          <a:off x="58773060" y="18288000"/>
          <a:ext cx="5532120" cy="7878794"/>
        </a:xfrm>
        <a:prstGeom prst="rect">
          <a:avLst/>
        </a:prstGeom>
      </xdr:spPr>
    </xdr:pic>
    <xdr:clientData/>
  </xdr:twoCellAnchor>
  <xdr:twoCellAnchor editAs="oneCell">
    <xdr:from>
      <xdr:col>120</xdr:col>
      <xdr:colOff>0</xdr:colOff>
      <xdr:row>99</xdr:row>
      <xdr:rowOff>182879</xdr:rowOff>
    </xdr:from>
    <xdr:to>
      <xdr:col>129</xdr:col>
      <xdr:colOff>141605</xdr:colOff>
      <xdr:row>143</xdr:row>
      <xdr:rowOff>21698</xdr:rowOff>
    </xdr:to>
    <xdr:pic>
      <xdr:nvPicPr>
        <xdr:cNvPr id="24" name="Picture 23">
          <a:extLst>
            <a:ext uri="{FF2B5EF4-FFF2-40B4-BE49-F238E27FC236}">
              <a16:creationId xmlns:a16="http://schemas.microsoft.com/office/drawing/2014/main" id="{93FC768B-8965-BAA0-B343-04E9FCCB555E}"/>
            </a:ext>
          </a:extLst>
        </xdr:cNvPr>
        <xdr:cNvPicPr>
          <a:picLocks noChangeAspect="1"/>
        </xdr:cNvPicPr>
      </xdr:nvPicPr>
      <xdr:blipFill>
        <a:blip xmlns:r="http://schemas.openxmlformats.org/officeDocument/2006/relationships" r:embed="rId23"/>
        <a:stretch>
          <a:fillRect/>
        </a:stretch>
      </xdr:blipFill>
      <xdr:spPr>
        <a:xfrm>
          <a:off x="66088260" y="18287999"/>
          <a:ext cx="5631180" cy="7885539"/>
        </a:xfrm>
        <a:prstGeom prst="rect">
          <a:avLst/>
        </a:prstGeom>
      </xdr:spPr>
    </xdr:pic>
    <xdr:clientData/>
  </xdr:twoCellAnchor>
  <xdr:twoCellAnchor editAs="oneCell">
    <xdr:from>
      <xdr:col>2</xdr:col>
      <xdr:colOff>38100</xdr:colOff>
      <xdr:row>4</xdr:row>
      <xdr:rowOff>12700</xdr:rowOff>
    </xdr:from>
    <xdr:to>
      <xdr:col>11</xdr:col>
      <xdr:colOff>18283</xdr:colOff>
      <xdr:row>50</xdr:row>
      <xdr:rowOff>161925</xdr:rowOff>
    </xdr:to>
    <xdr:pic>
      <xdr:nvPicPr>
        <xdr:cNvPr id="25" name="Picture 24">
          <a:extLst>
            <a:ext uri="{FF2B5EF4-FFF2-40B4-BE49-F238E27FC236}">
              <a16:creationId xmlns:a16="http://schemas.microsoft.com/office/drawing/2014/main" id="{D89F389F-8E5F-674A-CF2B-7E057D0B0615}"/>
            </a:ext>
          </a:extLst>
        </xdr:cNvPr>
        <xdr:cNvPicPr>
          <a:picLocks noChangeAspect="1"/>
        </xdr:cNvPicPr>
      </xdr:nvPicPr>
      <xdr:blipFill>
        <a:blip xmlns:r="http://schemas.openxmlformats.org/officeDocument/2006/relationships" r:embed="rId24"/>
        <a:stretch>
          <a:fillRect/>
        </a:stretch>
      </xdr:blipFill>
      <xdr:spPr>
        <a:xfrm>
          <a:off x="368300" y="850900"/>
          <a:ext cx="6209533" cy="8623300"/>
        </a:xfrm>
        <a:prstGeom prst="rect">
          <a:avLst/>
        </a:prstGeom>
      </xdr:spPr>
    </xdr:pic>
    <xdr:clientData/>
  </xdr:twoCellAnchor>
  <xdr:twoCellAnchor editAs="oneCell">
    <xdr:from>
      <xdr:col>2</xdr:col>
      <xdr:colOff>241301</xdr:colOff>
      <xdr:row>54</xdr:row>
      <xdr:rowOff>127000</xdr:rowOff>
    </xdr:from>
    <xdr:to>
      <xdr:col>10</xdr:col>
      <xdr:colOff>50265</xdr:colOff>
      <xdr:row>88</xdr:row>
      <xdr:rowOff>9525</xdr:rowOff>
    </xdr:to>
    <xdr:pic>
      <xdr:nvPicPr>
        <xdr:cNvPr id="26" name="Picture 25">
          <a:extLst>
            <a:ext uri="{FF2B5EF4-FFF2-40B4-BE49-F238E27FC236}">
              <a16:creationId xmlns:a16="http://schemas.microsoft.com/office/drawing/2014/main" id="{F36077ED-3519-3AF7-5778-5BB87DAB5299}"/>
            </a:ext>
          </a:extLst>
        </xdr:cNvPr>
        <xdr:cNvPicPr>
          <a:picLocks noChangeAspect="1"/>
        </xdr:cNvPicPr>
      </xdr:nvPicPr>
      <xdr:blipFill>
        <a:blip xmlns:r="http://schemas.openxmlformats.org/officeDocument/2006/relationships" r:embed="rId25"/>
        <a:stretch>
          <a:fillRect/>
        </a:stretch>
      </xdr:blipFill>
      <xdr:spPr>
        <a:xfrm>
          <a:off x="571501" y="10172700"/>
          <a:ext cx="5342989" cy="6140450"/>
        </a:xfrm>
        <a:prstGeom prst="rect">
          <a:avLst/>
        </a:prstGeom>
      </xdr:spPr>
    </xdr:pic>
    <xdr:clientData/>
  </xdr:twoCellAnchor>
  <xdr:twoCellAnchor editAs="oneCell">
    <xdr:from>
      <xdr:col>2</xdr:col>
      <xdr:colOff>50800</xdr:colOff>
      <xdr:row>145</xdr:row>
      <xdr:rowOff>25401</xdr:rowOff>
    </xdr:from>
    <xdr:to>
      <xdr:col>11</xdr:col>
      <xdr:colOff>57166</xdr:colOff>
      <xdr:row>184</xdr:row>
      <xdr:rowOff>171451</xdr:rowOff>
    </xdr:to>
    <xdr:pic>
      <xdr:nvPicPr>
        <xdr:cNvPr id="27" name="Picture 26">
          <a:extLst>
            <a:ext uri="{FF2B5EF4-FFF2-40B4-BE49-F238E27FC236}">
              <a16:creationId xmlns:a16="http://schemas.microsoft.com/office/drawing/2014/main" id="{C1F076E0-5C8E-1A3D-4EDB-72EC83FCFAC5}"/>
            </a:ext>
          </a:extLst>
        </xdr:cNvPr>
        <xdr:cNvPicPr>
          <a:picLocks noChangeAspect="1"/>
        </xdr:cNvPicPr>
      </xdr:nvPicPr>
      <xdr:blipFill>
        <a:blip xmlns:r="http://schemas.openxmlformats.org/officeDocument/2006/relationships" r:embed="rId26"/>
        <a:stretch>
          <a:fillRect/>
        </a:stretch>
      </xdr:blipFill>
      <xdr:spPr>
        <a:xfrm>
          <a:off x="381000" y="26828751"/>
          <a:ext cx="6235716" cy="7327900"/>
        </a:xfrm>
        <a:prstGeom prst="rect">
          <a:avLst/>
        </a:prstGeom>
      </xdr:spPr>
    </xdr:pic>
    <xdr:clientData/>
  </xdr:twoCellAnchor>
  <xdr:twoCellAnchor editAs="oneCell">
    <xdr:from>
      <xdr:col>2</xdr:col>
      <xdr:colOff>0</xdr:colOff>
      <xdr:row>188</xdr:row>
      <xdr:rowOff>1</xdr:rowOff>
    </xdr:from>
    <xdr:to>
      <xdr:col>11</xdr:col>
      <xdr:colOff>50045</xdr:colOff>
      <xdr:row>231</xdr:row>
      <xdr:rowOff>47626</xdr:rowOff>
    </xdr:to>
    <xdr:pic>
      <xdr:nvPicPr>
        <xdr:cNvPr id="28" name="Picture 27">
          <a:extLst>
            <a:ext uri="{FF2B5EF4-FFF2-40B4-BE49-F238E27FC236}">
              <a16:creationId xmlns:a16="http://schemas.microsoft.com/office/drawing/2014/main" id="{253C017A-40E8-B93A-FE79-814E49090A58}"/>
            </a:ext>
          </a:extLst>
        </xdr:cNvPr>
        <xdr:cNvPicPr>
          <a:picLocks noChangeAspect="1"/>
        </xdr:cNvPicPr>
      </xdr:nvPicPr>
      <xdr:blipFill>
        <a:blip xmlns:r="http://schemas.openxmlformats.org/officeDocument/2006/relationships" r:embed="rId27"/>
        <a:stretch>
          <a:fillRect/>
        </a:stretch>
      </xdr:blipFill>
      <xdr:spPr>
        <a:xfrm>
          <a:off x="330200" y="34721801"/>
          <a:ext cx="6282570" cy="7962900"/>
        </a:xfrm>
        <a:prstGeom prst="rect">
          <a:avLst/>
        </a:prstGeom>
      </xdr:spPr>
    </xdr:pic>
    <xdr:clientData/>
  </xdr:twoCellAnchor>
  <xdr:twoCellAnchor editAs="oneCell">
    <xdr:from>
      <xdr:col>119</xdr:col>
      <xdr:colOff>527050</xdr:colOff>
      <xdr:row>305</xdr:row>
      <xdr:rowOff>44450</xdr:rowOff>
    </xdr:from>
    <xdr:to>
      <xdr:col>129</xdr:col>
      <xdr:colOff>142875</xdr:colOff>
      <xdr:row>348</xdr:row>
      <xdr:rowOff>164190</xdr:rowOff>
    </xdr:to>
    <xdr:pic>
      <xdr:nvPicPr>
        <xdr:cNvPr id="29" name="Picture 28">
          <a:extLst>
            <a:ext uri="{FF2B5EF4-FFF2-40B4-BE49-F238E27FC236}">
              <a16:creationId xmlns:a16="http://schemas.microsoft.com/office/drawing/2014/main" id="{D23BB88C-F03B-C2A7-3EC0-0C80D75ECBFC}"/>
            </a:ext>
          </a:extLst>
        </xdr:cNvPr>
        <xdr:cNvPicPr>
          <a:picLocks noChangeAspect="1"/>
        </xdr:cNvPicPr>
      </xdr:nvPicPr>
      <xdr:blipFill>
        <a:blip xmlns:r="http://schemas.openxmlformats.org/officeDocument/2006/relationships" r:embed="rId28"/>
        <a:stretch>
          <a:fillRect/>
        </a:stretch>
      </xdr:blipFill>
      <xdr:spPr>
        <a:xfrm>
          <a:off x="72567800" y="56311800"/>
          <a:ext cx="5715000" cy="8041365"/>
        </a:xfrm>
        <a:prstGeom prst="rect">
          <a:avLst/>
        </a:prstGeom>
      </xdr:spPr>
    </xdr:pic>
    <xdr:clientData/>
  </xdr:twoCellAnchor>
  <xdr:twoCellAnchor editAs="oneCell">
    <xdr:from>
      <xdr:col>108</xdr:col>
      <xdr:colOff>1</xdr:colOff>
      <xdr:row>251</xdr:row>
      <xdr:rowOff>0</xdr:rowOff>
    </xdr:from>
    <xdr:to>
      <xdr:col>117</xdr:col>
      <xdr:colOff>352426</xdr:colOff>
      <xdr:row>262</xdr:row>
      <xdr:rowOff>140749</xdr:rowOff>
    </xdr:to>
    <xdr:pic>
      <xdr:nvPicPr>
        <xdr:cNvPr id="30" name="Picture 29">
          <a:extLst>
            <a:ext uri="{FF2B5EF4-FFF2-40B4-BE49-F238E27FC236}">
              <a16:creationId xmlns:a16="http://schemas.microsoft.com/office/drawing/2014/main" id="{F0F5D13C-6BD0-E3BF-D85E-4C3791E27302}"/>
            </a:ext>
          </a:extLst>
        </xdr:cNvPr>
        <xdr:cNvPicPr>
          <a:picLocks noChangeAspect="1"/>
        </xdr:cNvPicPr>
      </xdr:nvPicPr>
      <xdr:blipFill>
        <a:blip xmlns:r="http://schemas.openxmlformats.org/officeDocument/2006/relationships" r:embed="rId29"/>
        <a:stretch>
          <a:fillRect/>
        </a:stretch>
      </xdr:blipFill>
      <xdr:spPr>
        <a:xfrm>
          <a:off x="65335151" y="46323250"/>
          <a:ext cx="5842000" cy="2169574"/>
        </a:xfrm>
        <a:prstGeom prst="rect">
          <a:avLst/>
        </a:prstGeom>
      </xdr:spPr>
    </xdr:pic>
    <xdr:clientData/>
  </xdr:twoCellAnchor>
  <xdr:twoCellAnchor editAs="oneCell">
    <xdr:from>
      <xdr:col>108</xdr:col>
      <xdr:colOff>6351</xdr:colOff>
      <xdr:row>263</xdr:row>
      <xdr:rowOff>101601</xdr:rowOff>
    </xdr:from>
    <xdr:to>
      <xdr:col>117</xdr:col>
      <xdr:colOff>342901</xdr:colOff>
      <xdr:row>276</xdr:row>
      <xdr:rowOff>30090</xdr:rowOff>
    </xdr:to>
    <xdr:pic>
      <xdr:nvPicPr>
        <xdr:cNvPr id="31" name="Picture 30">
          <a:extLst>
            <a:ext uri="{FF2B5EF4-FFF2-40B4-BE49-F238E27FC236}">
              <a16:creationId xmlns:a16="http://schemas.microsoft.com/office/drawing/2014/main" id="{E74F5B5F-50E3-15FF-3341-02110878FD0B}"/>
            </a:ext>
          </a:extLst>
        </xdr:cNvPr>
        <xdr:cNvPicPr>
          <a:picLocks noChangeAspect="1"/>
        </xdr:cNvPicPr>
      </xdr:nvPicPr>
      <xdr:blipFill>
        <a:blip xmlns:r="http://schemas.openxmlformats.org/officeDocument/2006/relationships" r:embed="rId30"/>
        <a:stretch>
          <a:fillRect/>
        </a:stretch>
      </xdr:blipFill>
      <xdr:spPr>
        <a:xfrm>
          <a:off x="65341501" y="48634651"/>
          <a:ext cx="5822950" cy="2319264"/>
        </a:xfrm>
        <a:prstGeom prst="rect">
          <a:avLst/>
        </a:prstGeom>
      </xdr:spPr>
    </xdr:pic>
    <xdr:clientData/>
  </xdr:twoCellAnchor>
  <xdr:twoCellAnchor editAs="oneCell">
    <xdr:from>
      <xdr:col>107</xdr:col>
      <xdr:colOff>546100</xdr:colOff>
      <xdr:row>278</xdr:row>
      <xdr:rowOff>31750</xdr:rowOff>
    </xdr:from>
    <xdr:to>
      <xdr:col>117</xdr:col>
      <xdr:colOff>381000</xdr:colOff>
      <xdr:row>283</xdr:row>
      <xdr:rowOff>168491</xdr:rowOff>
    </xdr:to>
    <xdr:pic>
      <xdr:nvPicPr>
        <xdr:cNvPr id="32" name="Picture 31">
          <a:extLst>
            <a:ext uri="{FF2B5EF4-FFF2-40B4-BE49-F238E27FC236}">
              <a16:creationId xmlns:a16="http://schemas.microsoft.com/office/drawing/2014/main" id="{38898C77-EFEE-727F-4E4C-B3FA94F56838}"/>
            </a:ext>
          </a:extLst>
        </xdr:cNvPr>
        <xdr:cNvPicPr>
          <a:picLocks noChangeAspect="1"/>
        </xdr:cNvPicPr>
      </xdr:nvPicPr>
      <xdr:blipFill>
        <a:blip xmlns:r="http://schemas.openxmlformats.org/officeDocument/2006/relationships" r:embed="rId31"/>
        <a:stretch>
          <a:fillRect/>
        </a:stretch>
      </xdr:blipFill>
      <xdr:spPr>
        <a:xfrm>
          <a:off x="65271650" y="51327050"/>
          <a:ext cx="5930900" cy="1057491"/>
        </a:xfrm>
        <a:prstGeom prst="rect">
          <a:avLst/>
        </a:prstGeom>
      </xdr:spPr>
    </xdr:pic>
    <xdr:clientData/>
  </xdr:twoCellAnchor>
  <xdr:twoCellAnchor editAs="oneCell">
    <xdr:from>
      <xdr:col>120</xdr:col>
      <xdr:colOff>1</xdr:colOff>
      <xdr:row>250</xdr:row>
      <xdr:rowOff>127000</xdr:rowOff>
    </xdr:from>
    <xdr:to>
      <xdr:col>129</xdr:col>
      <xdr:colOff>266701</xdr:colOff>
      <xdr:row>262</xdr:row>
      <xdr:rowOff>76642</xdr:rowOff>
    </xdr:to>
    <xdr:pic>
      <xdr:nvPicPr>
        <xdr:cNvPr id="33" name="Picture 32">
          <a:extLst>
            <a:ext uri="{FF2B5EF4-FFF2-40B4-BE49-F238E27FC236}">
              <a16:creationId xmlns:a16="http://schemas.microsoft.com/office/drawing/2014/main" id="{1F27BF40-5BEC-7E9F-16B4-A486F50A1C42}"/>
            </a:ext>
          </a:extLst>
        </xdr:cNvPr>
        <xdr:cNvPicPr>
          <a:picLocks noChangeAspect="1"/>
        </xdr:cNvPicPr>
      </xdr:nvPicPr>
      <xdr:blipFill>
        <a:blip xmlns:r="http://schemas.openxmlformats.org/officeDocument/2006/relationships" r:embed="rId32"/>
        <a:stretch>
          <a:fillRect/>
        </a:stretch>
      </xdr:blipFill>
      <xdr:spPr>
        <a:xfrm>
          <a:off x="72650351" y="46266100"/>
          <a:ext cx="5753100" cy="2159442"/>
        </a:xfrm>
        <a:prstGeom prst="rect">
          <a:avLst/>
        </a:prstGeom>
      </xdr:spPr>
    </xdr:pic>
    <xdr:clientData/>
  </xdr:twoCellAnchor>
  <xdr:twoCellAnchor editAs="oneCell">
    <xdr:from>
      <xdr:col>120</xdr:col>
      <xdr:colOff>0</xdr:colOff>
      <xdr:row>263</xdr:row>
      <xdr:rowOff>76200</xdr:rowOff>
    </xdr:from>
    <xdr:to>
      <xdr:col>129</xdr:col>
      <xdr:colOff>276225</xdr:colOff>
      <xdr:row>275</xdr:row>
      <xdr:rowOff>58492</xdr:rowOff>
    </xdr:to>
    <xdr:pic>
      <xdr:nvPicPr>
        <xdr:cNvPr id="34" name="Picture 33">
          <a:extLst>
            <a:ext uri="{FF2B5EF4-FFF2-40B4-BE49-F238E27FC236}">
              <a16:creationId xmlns:a16="http://schemas.microsoft.com/office/drawing/2014/main" id="{3528D3DA-A996-DC18-B5CE-B456D4D5CD8D}"/>
            </a:ext>
          </a:extLst>
        </xdr:cNvPr>
        <xdr:cNvPicPr>
          <a:picLocks noChangeAspect="1"/>
        </xdr:cNvPicPr>
      </xdr:nvPicPr>
      <xdr:blipFill>
        <a:blip xmlns:r="http://schemas.openxmlformats.org/officeDocument/2006/relationships" r:embed="rId33"/>
        <a:stretch>
          <a:fillRect/>
        </a:stretch>
      </xdr:blipFill>
      <xdr:spPr>
        <a:xfrm>
          <a:off x="72650350" y="48609250"/>
          <a:ext cx="5765800" cy="2192092"/>
        </a:xfrm>
        <a:prstGeom prst="rect">
          <a:avLst/>
        </a:prstGeom>
      </xdr:spPr>
    </xdr:pic>
    <xdr:clientData/>
  </xdr:twoCellAnchor>
  <xdr:twoCellAnchor editAs="oneCell">
    <xdr:from>
      <xdr:col>120</xdr:col>
      <xdr:colOff>12701</xdr:colOff>
      <xdr:row>277</xdr:row>
      <xdr:rowOff>146051</xdr:rowOff>
    </xdr:from>
    <xdr:to>
      <xdr:col>129</xdr:col>
      <xdr:colOff>238126</xdr:colOff>
      <xdr:row>289</xdr:row>
      <xdr:rowOff>54589</xdr:rowOff>
    </xdr:to>
    <xdr:pic>
      <xdr:nvPicPr>
        <xdr:cNvPr id="35" name="Picture 34">
          <a:extLst>
            <a:ext uri="{FF2B5EF4-FFF2-40B4-BE49-F238E27FC236}">
              <a16:creationId xmlns:a16="http://schemas.microsoft.com/office/drawing/2014/main" id="{37F25EDF-D15D-DD31-0D9B-339684C85FF6}"/>
            </a:ext>
          </a:extLst>
        </xdr:cNvPr>
        <xdr:cNvPicPr>
          <a:picLocks noChangeAspect="1"/>
        </xdr:cNvPicPr>
      </xdr:nvPicPr>
      <xdr:blipFill>
        <a:blip xmlns:r="http://schemas.openxmlformats.org/officeDocument/2006/relationships" r:embed="rId34"/>
        <a:stretch>
          <a:fillRect/>
        </a:stretch>
      </xdr:blipFill>
      <xdr:spPr>
        <a:xfrm>
          <a:off x="72663051" y="51257201"/>
          <a:ext cx="5708650" cy="2118338"/>
        </a:xfrm>
        <a:prstGeom prst="rect">
          <a:avLst/>
        </a:prstGeom>
      </xdr:spPr>
    </xdr:pic>
    <xdr:clientData/>
  </xdr:twoCellAnchor>
  <xdr:twoCellAnchor editAs="oneCell">
    <xdr:from>
      <xdr:col>97</xdr:col>
      <xdr:colOff>222250</xdr:colOff>
      <xdr:row>251</xdr:row>
      <xdr:rowOff>1</xdr:rowOff>
    </xdr:from>
    <xdr:to>
      <xdr:col>107</xdr:col>
      <xdr:colOff>66675</xdr:colOff>
      <xdr:row>263</xdr:row>
      <xdr:rowOff>97887</xdr:rowOff>
    </xdr:to>
    <xdr:pic>
      <xdr:nvPicPr>
        <xdr:cNvPr id="36" name="Picture 35">
          <a:extLst>
            <a:ext uri="{FF2B5EF4-FFF2-40B4-BE49-F238E27FC236}">
              <a16:creationId xmlns:a16="http://schemas.microsoft.com/office/drawing/2014/main" id="{2E018C9F-AAA8-DD3B-CCF9-20E3F72ABC0F}"/>
            </a:ext>
          </a:extLst>
        </xdr:cNvPr>
        <xdr:cNvPicPr>
          <a:picLocks noChangeAspect="1"/>
        </xdr:cNvPicPr>
      </xdr:nvPicPr>
      <xdr:blipFill>
        <a:blip xmlns:r="http://schemas.openxmlformats.org/officeDocument/2006/relationships" r:embed="rId35"/>
        <a:stretch>
          <a:fillRect/>
        </a:stretch>
      </xdr:blipFill>
      <xdr:spPr>
        <a:xfrm>
          <a:off x="58851800" y="46323251"/>
          <a:ext cx="5937250" cy="2307686"/>
        </a:xfrm>
        <a:prstGeom prst="rect">
          <a:avLst/>
        </a:prstGeom>
      </xdr:spPr>
    </xdr:pic>
    <xdr:clientData/>
  </xdr:twoCellAnchor>
  <xdr:twoCellAnchor editAs="oneCell">
    <xdr:from>
      <xdr:col>97</xdr:col>
      <xdr:colOff>177800</xdr:colOff>
      <xdr:row>264</xdr:row>
      <xdr:rowOff>44451</xdr:rowOff>
    </xdr:from>
    <xdr:to>
      <xdr:col>106</xdr:col>
      <xdr:colOff>581025</xdr:colOff>
      <xdr:row>276</xdr:row>
      <xdr:rowOff>135869</xdr:rowOff>
    </xdr:to>
    <xdr:pic>
      <xdr:nvPicPr>
        <xdr:cNvPr id="37" name="Picture 36">
          <a:extLst>
            <a:ext uri="{FF2B5EF4-FFF2-40B4-BE49-F238E27FC236}">
              <a16:creationId xmlns:a16="http://schemas.microsoft.com/office/drawing/2014/main" id="{52C73656-3940-19D6-7D29-015C74EA2DB0}"/>
            </a:ext>
          </a:extLst>
        </xdr:cNvPr>
        <xdr:cNvPicPr>
          <a:picLocks noChangeAspect="1"/>
        </xdr:cNvPicPr>
      </xdr:nvPicPr>
      <xdr:blipFill>
        <a:blip xmlns:r="http://schemas.openxmlformats.org/officeDocument/2006/relationships" r:embed="rId36"/>
        <a:stretch>
          <a:fillRect/>
        </a:stretch>
      </xdr:blipFill>
      <xdr:spPr>
        <a:xfrm>
          <a:off x="58807350" y="48761651"/>
          <a:ext cx="5886450" cy="2301218"/>
        </a:xfrm>
        <a:prstGeom prst="rect">
          <a:avLst/>
        </a:prstGeom>
      </xdr:spPr>
    </xdr:pic>
    <xdr:clientData/>
  </xdr:twoCellAnchor>
  <xdr:twoCellAnchor editAs="oneCell">
    <xdr:from>
      <xdr:col>97</xdr:col>
      <xdr:colOff>152401</xdr:colOff>
      <xdr:row>278</xdr:row>
      <xdr:rowOff>19051</xdr:rowOff>
    </xdr:from>
    <xdr:to>
      <xdr:col>106</xdr:col>
      <xdr:colOff>590551</xdr:colOff>
      <xdr:row>283</xdr:row>
      <xdr:rowOff>143272</xdr:rowOff>
    </xdr:to>
    <xdr:pic>
      <xdr:nvPicPr>
        <xdr:cNvPr id="38" name="Picture 37">
          <a:extLst>
            <a:ext uri="{FF2B5EF4-FFF2-40B4-BE49-F238E27FC236}">
              <a16:creationId xmlns:a16="http://schemas.microsoft.com/office/drawing/2014/main" id="{D86AA3D2-1555-B33E-2003-8354468FD403}"/>
            </a:ext>
          </a:extLst>
        </xdr:cNvPr>
        <xdr:cNvPicPr>
          <a:picLocks noChangeAspect="1"/>
        </xdr:cNvPicPr>
      </xdr:nvPicPr>
      <xdr:blipFill>
        <a:blip xmlns:r="http://schemas.openxmlformats.org/officeDocument/2006/relationships" r:embed="rId37"/>
        <a:stretch>
          <a:fillRect/>
        </a:stretch>
      </xdr:blipFill>
      <xdr:spPr>
        <a:xfrm>
          <a:off x="58781951" y="51314351"/>
          <a:ext cx="5924550" cy="1048146"/>
        </a:xfrm>
        <a:prstGeom prst="rect">
          <a:avLst/>
        </a:prstGeom>
      </xdr:spPr>
    </xdr:pic>
    <xdr:clientData/>
  </xdr:twoCellAnchor>
  <xdr:twoCellAnchor editAs="oneCell">
    <xdr:from>
      <xdr:col>65</xdr:col>
      <xdr:colOff>0</xdr:colOff>
      <xdr:row>250</xdr:row>
      <xdr:rowOff>0</xdr:rowOff>
    </xdr:from>
    <xdr:to>
      <xdr:col>74</xdr:col>
      <xdr:colOff>276225</xdr:colOff>
      <xdr:row>262</xdr:row>
      <xdr:rowOff>67058</xdr:rowOff>
    </xdr:to>
    <xdr:pic>
      <xdr:nvPicPr>
        <xdr:cNvPr id="39" name="Picture 38">
          <a:extLst>
            <a:ext uri="{FF2B5EF4-FFF2-40B4-BE49-F238E27FC236}">
              <a16:creationId xmlns:a16="http://schemas.microsoft.com/office/drawing/2014/main" id="{E7251488-BE9D-9B79-B26E-916EE7CD6240}"/>
            </a:ext>
          </a:extLst>
        </xdr:cNvPr>
        <xdr:cNvPicPr>
          <a:picLocks noChangeAspect="1"/>
        </xdr:cNvPicPr>
      </xdr:nvPicPr>
      <xdr:blipFill>
        <a:blip xmlns:r="http://schemas.openxmlformats.org/officeDocument/2006/relationships" r:embed="rId38"/>
        <a:stretch>
          <a:fillRect/>
        </a:stretch>
      </xdr:blipFill>
      <xdr:spPr>
        <a:xfrm>
          <a:off x="39122350" y="46139100"/>
          <a:ext cx="5765800" cy="2273683"/>
        </a:xfrm>
        <a:prstGeom prst="rect">
          <a:avLst/>
        </a:prstGeom>
      </xdr:spPr>
    </xdr:pic>
    <xdr:clientData/>
  </xdr:twoCellAnchor>
  <xdr:twoCellAnchor editAs="oneCell">
    <xdr:from>
      <xdr:col>65</xdr:col>
      <xdr:colOff>1</xdr:colOff>
      <xdr:row>263</xdr:row>
      <xdr:rowOff>1</xdr:rowOff>
    </xdr:from>
    <xdr:to>
      <xdr:col>74</xdr:col>
      <xdr:colOff>285751</xdr:colOff>
      <xdr:row>273</xdr:row>
      <xdr:rowOff>169025</xdr:rowOff>
    </xdr:to>
    <xdr:pic>
      <xdr:nvPicPr>
        <xdr:cNvPr id="40" name="Picture 39">
          <a:extLst>
            <a:ext uri="{FF2B5EF4-FFF2-40B4-BE49-F238E27FC236}">
              <a16:creationId xmlns:a16="http://schemas.microsoft.com/office/drawing/2014/main" id="{6B59D8CE-3B3A-976A-B24C-B0299EA8182A}"/>
            </a:ext>
          </a:extLst>
        </xdr:cNvPr>
        <xdr:cNvPicPr>
          <a:picLocks noChangeAspect="1"/>
        </xdr:cNvPicPr>
      </xdr:nvPicPr>
      <xdr:blipFill>
        <a:blip xmlns:r="http://schemas.openxmlformats.org/officeDocument/2006/relationships" r:embed="rId39"/>
        <a:stretch>
          <a:fillRect/>
        </a:stretch>
      </xdr:blipFill>
      <xdr:spPr>
        <a:xfrm>
          <a:off x="39122351" y="48533051"/>
          <a:ext cx="5772150" cy="2010524"/>
        </a:xfrm>
        <a:prstGeom prst="rect">
          <a:avLst/>
        </a:prstGeom>
      </xdr:spPr>
    </xdr:pic>
    <xdr:clientData/>
  </xdr:twoCellAnchor>
  <xdr:twoCellAnchor editAs="oneCell">
    <xdr:from>
      <xdr:col>65</xdr:col>
      <xdr:colOff>0</xdr:colOff>
      <xdr:row>275</xdr:row>
      <xdr:rowOff>0</xdr:rowOff>
    </xdr:from>
    <xdr:to>
      <xdr:col>74</xdr:col>
      <xdr:colOff>266700</xdr:colOff>
      <xdr:row>286</xdr:row>
      <xdr:rowOff>66127</xdr:rowOff>
    </xdr:to>
    <xdr:pic>
      <xdr:nvPicPr>
        <xdr:cNvPr id="41" name="Picture 40">
          <a:extLst>
            <a:ext uri="{FF2B5EF4-FFF2-40B4-BE49-F238E27FC236}">
              <a16:creationId xmlns:a16="http://schemas.microsoft.com/office/drawing/2014/main" id="{B8E63725-8BFF-0782-76DC-397D4A89D022}"/>
            </a:ext>
          </a:extLst>
        </xdr:cNvPr>
        <xdr:cNvPicPr>
          <a:picLocks noChangeAspect="1"/>
        </xdr:cNvPicPr>
      </xdr:nvPicPr>
      <xdr:blipFill>
        <a:blip xmlns:r="http://schemas.openxmlformats.org/officeDocument/2006/relationships" r:embed="rId40"/>
        <a:stretch>
          <a:fillRect/>
        </a:stretch>
      </xdr:blipFill>
      <xdr:spPr>
        <a:xfrm>
          <a:off x="39122350" y="50742850"/>
          <a:ext cx="5753100" cy="2088602"/>
        </a:xfrm>
        <a:prstGeom prst="rect">
          <a:avLst/>
        </a:prstGeom>
      </xdr:spPr>
    </xdr:pic>
    <xdr:clientData/>
  </xdr:twoCellAnchor>
  <xdr:twoCellAnchor editAs="oneCell">
    <xdr:from>
      <xdr:col>54</xdr:col>
      <xdr:colOff>1</xdr:colOff>
      <xdr:row>250</xdr:row>
      <xdr:rowOff>1</xdr:rowOff>
    </xdr:from>
    <xdr:to>
      <xdr:col>63</xdr:col>
      <xdr:colOff>447676</xdr:colOff>
      <xdr:row>263</xdr:row>
      <xdr:rowOff>94767</xdr:rowOff>
    </xdr:to>
    <xdr:pic>
      <xdr:nvPicPr>
        <xdr:cNvPr id="42" name="Picture 41">
          <a:extLst>
            <a:ext uri="{FF2B5EF4-FFF2-40B4-BE49-F238E27FC236}">
              <a16:creationId xmlns:a16="http://schemas.microsoft.com/office/drawing/2014/main" id="{47B74B92-39B8-E6D5-5D82-22C3E040FF4F}"/>
            </a:ext>
          </a:extLst>
        </xdr:cNvPr>
        <xdr:cNvPicPr>
          <a:picLocks noChangeAspect="1"/>
        </xdr:cNvPicPr>
      </xdr:nvPicPr>
      <xdr:blipFill>
        <a:blip xmlns:r="http://schemas.openxmlformats.org/officeDocument/2006/relationships" r:embed="rId41"/>
        <a:stretch>
          <a:fillRect/>
        </a:stretch>
      </xdr:blipFill>
      <xdr:spPr>
        <a:xfrm>
          <a:off x="32416751" y="46139101"/>
          <a:ext cx="5930900" cy="2488716"/>
        </a:xfrm>
        <a:prstGeom prst="rect">
          <a:avLst/>
        </a:prstGeom>
      </xdr:spPr>
    </xdr:pic>
    <xdr:clientData/>
  </xdr:twoCellAnchor>
  <xdr:twoCellAnchor editAs="oneCell">
    <xdr:from>
      <xdr:col>54</xdr:col>
      <xdr:colOff>0</xdr:colOff>
      <xdr:row>264</xdr:row>
      <xdr:rowOff>0</xdr:rowOff>
    </xdr:from>
    <xdr:to>
      <xdr:col>63</xdr:col>
      <xdr:colOff>438150</xdr:colOff>
      <xdr:row>274</xdr:row>
      <xdr:rowOff>65426</xdr:rowOff>
    </xdr:to>
    <xdr:pic>
      <xdr:nvPicPr>
        <xdr:cNvPr id="43" name="Picture 42">
          <a:extLst>
            <a:ext uri="{FF2B5EF4-FFF2-40B4-BE49-F238E27FC236}">
              <a16:creationId xmlns:a16="http://schemas.microsoft.com/office/drawing/2014/main" id="{6E961CB5-5792-3CD5-0271-5AB7FABEC811}"/>
            </a:ext>
          </a:extLst>
        </xdr:cNvPr>
        <xdr:cNvPicPr>
          <a:picLocks noChangeAspect="1"/>
        </xdr:cNvPicPr>
      </xdr:nvPicPr>
      <xdr:blipFill>
        <a:blip xmlns:r="http://schemas.openxmlformats.org/officeDocument/2006/relationships" r:embed="rId42"/>
        <a:stretch>
          <a:fillRect/>
        </a:stretch>
      </xdr:blipFill>
      <xdr:spPr>
        <a:xfrm>
          <a:off x="32416750" y="48717200"/>
          <a:ext cx="5924550" cy="1910101"/>
        </a:xfrm>
        <a:prstGeom prst="rect">
          <a:avLst/>
        </a:prstGeom>
      </xdr:spPr>
    </xdr:pic>
    <xdr:clientData/>
  </xdr:twoCellAnchor>
  <xdr:twoCellAnchor editAs="oneCell">
    <xdr:from>
      <xdr:col>54</xdr:col>
      <xdr:colOff>0</xdr:colOff>
      <xdr:row>275</xdr:row>
      <xdr:rowOff>0</xdr:rowOff>
    </xdr:from>
    <xdr:to>
      <xdr:col>63</xdr:col>
      <xdr:colOff>485775</xdr:colOff>
      <xdr:row>286</xdr:row>
      <xdr:rowOff>164863</xdr:rowOff>
    </xdr:to>
    <xdr:pic>
      <xdr:nvPicPr>
        <xdr:cNvPr id="44" name="Picture 43">
          <a:extLst>
            <a:ext uri="{FF2B5EF4-FFF2-40B4-BE49-F238E27FC236}">
              <a16:creationId xmlns:a16="http://schemas.microsoft.com/office/drawing/2014/main" id="{78D3EF77-E5CB-27B0-9CAF-AC9E256F3486}"/>
            </a:ext>
          </a:extLst>
        </xdr:cNvPr>
        <xdr:cNvPicPr>
          <a:picLocks noChangeAspect="1"/>
        </xdr:cNvPicPr>
      </xdr:nvPicPr>
      <xdr:blipFill>
        <a:blip xmlns:r="http://schemas.openxmlformats.org/officeDocument/2006/relationships" r:embed="rId43"/>
        <a:stretch>
          <a:fillRect/>
        </a:stretch>
      </xdr:blipFill>
      <xdr:spPr>
        <a:xfrm>
          <a:off x="32416750" y="50742850"/>
          <a:ext cx="5969000" cy="2193688"/>
        </a:xfrm>
        <a:prstGeom prst="rect">
          <a:avLst/>
        </a:prstGeom>
      </xdr:spPr>
    </xdr:pic>
    <xdr:clientData/>
  </xdr:twoCellAnchor>
  <xdr:twoCellAnchor editAs="oneCell">
    <xdr:from>
      <xdr:col>43</xdr:col>
      <xdr:colOff>1</xdr:colOff>
      <xdr:row>250</xdr:row>
      <xdr:rowOff>0</xdr:rowOff>
    </xdr:from>
    <xdr:to>
      <xdr:col>52</xdr:col>
      <xdr:colOff>466725</xdr:colOff>
      <xdr:row>264</xdr:row>
      <xdr:rowOff>56644</xdr:rowOff>
    </xdr:to>
    <xdr:pic>
      <xdr:nvPicPr>
        <xdr:cNvPr id="45" name="Picture 44">
          <a:extLst>
            <a:ext uri="{FF2B5EF4-FFF2-40B4-BE49-F238E27FC236}">
              <a16:creationId xmlns:a16="http://schemas.microsoft.com/office/drawing/2014/main" id="{D61DEC87-690D-6EA9-E307-1DBBD8AAB41A}"/>
            </a:ext>
          </a:extLst>
        </xdr:cNvPr>
        <xdr:cNvPicPr>
          <a:picLocks noChangeAspect="1"/>
        </xdr:cNvPicPr>
      </xdr:nvPicPr>
      <xdr:blipFill>
        <a:blip xmlns:r="http://schemas.openxmlformats.org/officeDocument/2006/relationships" r:embed="rId44"/>
        <a:stretch>
          <a:fillRect/>
        </a:stretch>
      </xdr:blipFill>
      <xdr:spPr>
        <a:xfrm>
          <a:off x="25711151" y="46139100"/>
          <a:ext cx="5949949" cy="2634744"/>
        </a:xfrm>
        <a:prstGeom prst="rect">
          <a:avLst/>
        </a:prstGeom>
      </xdr:spPr>
    </xdr:pic>
    <xdr:clientData/>
  </xdr:twoCellAnchor>
  <xdr:twoCellAnchor editAs="oneCell">
    <xdr:from>
      <xdr:col>43</xdr:col>
      <xdr:colOff>1</xdr:colOff>
      <xdr:row>266</xdr:row>
      <xdr:rowOff>0</xdr:rowOff>
    </xdr:from>
    <xdr:to>
      <xdr:col>52</xdr:col>
      <xdr:colOff>428625</xdr:colOff>
      <xdr:row>276</xdr:row>
      <xdr:rowOff>120798</xdr:rowOff>
    </xdr:to>
    <xdr:pic>
      <xdr:nvPicPr>
        <xdr:cNvPr id="46" name="Picture 45">
          <a:extLst>
            <a:ext uri="{FF2B5EF4-FFF2-40B4-BE49-F238E27FC236}">
              <a16:creationId xmlns:a16="http://schemas.microsoft.com/office/drawing/2014/main" id="{B518BD2D-3751-3D92-8049-B9B4104CA7C8}"/>
            </a:ext>
          </a:extLst>
        </xdr:cNvPr>
        <xdr:cNvPicPr>
          <a:picLocks noChangeAspect="1"/>
        </xdr:cNvPicPr>
      </xdr:nvPicPr>
      <xdr:blipFill>
        <a:blip xmlns:r="http://schemas.openxmlformats.org/officeDocument/2006/relationships" r:embed="rId45"/>
        <a:stretch>
          <a:fillRect/>
        </a:stretch>
      </xdr:blipFill>
      <xdr:spPr>
        <a:xfrm>
          <a:off x="25711151" y="49085500"/>
          <a:ext cx="5918199" cy="1965473"/>
        </a:xfrm>
        <a:prstGeom prst="rect">
          <a:avLst/>
        </a:prstGeom>
      </xdr:spPr>
    </xdr:pic>
    <xdr:clientData/>
  </xdr:twoCellAnchor>
  <xdr:twoCellAnchor editAs="oneCell">
    <xdr:from>
      <xdr:col>43</xdr:col>
      <xdr:colOff>1</xdr:colOff>
      <xdr:row>278</xdr:row>
      <xdr:rowOff>0</xdr:rowOff>
    </xdr:from>
    <xdr:to>
      <xdr:col>52</xdr:col>
      <xdr:colOff>409576</xdr:colOff>
      <xdr:row>290</xdr:row>
      <xdr:rowOff>49408</xdr:rowOff>
    </xdr:to>
    <xdr:pic>
      <xdr:nvPicPr>
        <xdr:cNvPr id="47" name="Picture 46">
          <a:extLst>
            <a:ext uri="{FF2B5EF4-FFF2-40B4-BE49-F238E27FC236}">
              <a16:creationId xmlns:a16="http://schemas.microsoft.com/office/drawing/2014/main" id="{EA8307A7-4724-6051-B2D1-5918C6F9F57E}"/>
            </a:ext>
          </a:extLst>
        </xdr:cNvPr>
        <xdr:cNvPicPr>
          <a:picLocks noChangeAspect="1"/>
        </xdr:cNvPicPr>
      </xdr:nvPicPr>
      <xdr:blipFill>
        <a:blip xmlns:r="http://schemas.openxmlformats.org/officeDocument/2006/relationships" r:embed="rId46"/>
        <a:stretch>
          <a:fillRect/>
        </a:stretch>
      </xdr:blipFill>
      <xdr:spPr>
        <a:xfrm>
          <a:off x="25711151" y="51295300"/>
          <a:ext cx="5899150" cy="2256033"/>
        </a:xfrm>
        <a:prstGeom prst="rect">
          <a:avLst/>
        </a:prstGeom>
      </xdr:spPr>
    </xdr:pic>
    <xdr:clientData/>
  </xdr:twoCellAnchor>
  <xdr:twoCellAnchor editAs="oneCell">
    <xdr:from>
      <xdr:col>22</xdr:col>
      <xdr:colOff>139700</xdr:colOff>
      <xdr:row>250</xdr:row>
      <xdr:rowOff>95250</xdr:rowOff>
    </xdr:from>
    <xdr:to>
      <xdr:col>31</xdr:col>
      <xdr:colOff>361950</xdr:colOff>
      <xdr:row>263</xdr:row>
      <xdr:rowOff>55053</xdr:rowOff>
    </xdr:to>
    <xdr:pic>
      <xdr:nvPicPr>
        <xdr:cNvPr id="48" name="Picture 47">
          <a:extLst>
            <a:ext uri="{FF2B5EF4-FFF2-40B4-BE49-F238E27FC236}">
              <a16:creationId xmlns:a16="http://schemas.microsoft.com/office/drawing/2014/main" id="{1316D4DC-029A-88BC-CABD-B501BD578173}"/>
            </a:ext>
          </a:extLst>
        </xdr:cNvPr>
        <xdr:cNvPicPr>
          <a:picLocks noChangeAspect="1"/>
        </xdr:cNvPicPr>
      </xdr:nvPicPr>
      <xdr:blipFill>
        <a:blip xmlns:r="http://schemas.openxmlformats.org/officeDocument/2006/relationships" r:embed="rId47"/>
        <a:stretch>
          <a:fillRect/>
        </a:stretch>
      </xdr:blipFill>
      <xdr:spPr>
        <a:xfrm>
          <a:off x="13049250" y="46234350"/>
          <a:ext cx="5708650" cy="2353753"/>
        </a:xfrm>
        <a:prstGeom prst="rect">
          <a:avLst/>
        </a:prstGeom>
      </xdr:spPr>
    </xdr:pic>
    <xdr:clientData/>
  </xdr:twoCellAnchor>
  <xdr:twoCellAnchor editAs="oneCell">
    <xdr:from>
      <xdr:col>22</xdr:col>
      <xdr:colOff>139700</xdr:colOff>
      <xdr:row>264</xdr:row>
      <xdr:rowOff>95250</xdr:rowOff>
    </xdr:from>
    <xdr:to>
      <xdr:col>31</xdr:col>
      <xdr:colOff>409575</xdr:colOff>
      <xdr:row>275</xdr:row>
      <xdr:rowOff>142178</xdr:rowOff>
    </xdr:to>
    <xdr:pic>
      <xdr:nvPicPr>
        <xdr:cNvPr id="49" name="Picture 48">
          <a:extLst>
            <a:ext uri="{FF2B5EF4-FFF2-40B4-BE49-F238E27FC236}">
              <a16:creationId xmlns:a16="http://schemas.microsoft.com/office/drawing/2014/main" id="{A89DBF4F-4374-41E1-296E-4B909A6F69A8}"/>
            </a:ext>
          </a:extLst>
        </xdr:cNvPr>
        <xdr:cNvPicPr>
          <a:picLocks noChangeAspect="1"/>
        </xdr:cNvPicPr>
      </xdr:nvPicPr>
      <xdr:blipFill>
        <a:blip xmlns:r="http://schemas.openxmlformats.org/officeDocument/2006/relationships" r:embed="rId48"/>
        <a:stretch>
          <a:fillRect/>
        </a:stretch>
      </xdr:blipFill>
      <xdr:spPr>
        <a:xfrm>
          <a:off x="13049250" y="48812450"/>
          <a:ext cx="5753100" cy="2075753"/>
        </a:xfrm>
        <a:prstGeom prst="rect">
          <a:avLst/>
        </a:prstGeom>
      </xdr:spPr>
    </xdr:pic>
    <xdr:clientData/>
  </xdr:twoCellAnchor>
  <xdr:twoCellAnchor editAs="oneCell">
    <xdr:from>
      <xdr:col>22</xdr:col>
      <xdr:colOff>139701</xdr:colOff>
      <xdr:row>276</xdr:row>
      <xdr:rowOff>95251</xdr:rowOff>
    </xdr:from>
    <xdr:to>
      <xdr:col>31</xdr:col>
      <xdr:colOff>393476</xdr:colOff>
      <xdr:row>291</xdr:row>
      <xdr:rowOff>161926</xdr:rowOff>
    </xdr:to>
    <xdr:pic>
      <xdr:nvPicPr>
        <xdr:cNvPr id="50" name="Picture 49">
          <a:extLst>
            <a:ext uri="{FF2B5EF4-FFF2-40B4-BE49-F238E27FC236}">
              <a16:creationId xmlns:a16="http://schemas.microsoft.com/office/drawing/2014/main" id="{1B9CDBB8-4A31-08DC-C6CF-5DD88CE9D45E}"/>
            </a:ext>
          </a:extLst>
        </xdr:cNvPr>
        <xdr:cNvPicPr>
          <a:picLocks noChangeAspect="1"/>
        </xdr:cNvPicPr>
      </xdr:nvPicPr>
      <xdr:blipFill>
        <a:blip xmlns:r="http://schemas.openxmlformats.org/officeDocument/2006/relationships" r:embed="rId49"/>
        <a:stretch>
          <a:fillRect/>
        </a:stretch>
      </xdr:blipFill>
      <xdr:spPr>
        <a:xfrm>
          <a:off x="13049251" y="51022251"/>
          <a:ext cx="5743350" cy="2825750"/>
        </a:xfrm>
        <a:prstGeom prst="rect">
          <a:avLst/>
        </a:prstGeom>
      </xdr:spPr>
    </xdr:pic>
    <xdr:clientData/>
  </xdr:twoCellAnchor>
  <xdr:twoCellAnchor editAs="oneCell">
    <xdr:from>
      <xdr:col>2</xdr:col>
      <xdr:colOff>1</xdr:colOff>
      <xdr:row>250</xdr:row>
      <xdr:rowOff>0</xdr:rowOff>
    </xdr:from>
    <xdr:to>
      <xdr:col>10</xdr:col>
      <xdr:colOff>638176</xdr:colOff>
      <xdr:row>262</xdr:row>
      <xdr:rowOff>113610</xdr:rowOff>
    </xdr:to>
    <xdr:pic>
      <xdr:nvPicPr>
        <xdr:cNvPr id="51" name="Picture 50">
          <a:extLst>
            <a:ext uri="{FF2B5EF4-FFF2-40B4-BE49-F238E27FC236}">
              <a16:creationId xmlns:a16="http://schemas.microsoft.com/office/drawing/2014/main" id="{731348F9-7DF3-A3DA-5A4F-6E77D947A49D}"/>
            </a:ext>
          </a:extLst>
        </xdr:cNvPr>
        <xdr:cNvPicPr>
          <a:picLocks noChangeAspect="1"/>
        </xdr:cNvPicPr>
      </xdr:nvPicPr>
      <xdr:blipFill>
        <a:blip xmlns:r="http://schemas.openxmlformats.org/officeDocument/2006/relationships" r:embed="rId50"/>
        <a:stretch>
          <a:fillRect/>
        </a:stretch>
      </xdr:blipFill>
      <xdr:spPr>
        <a:xfrm>
          <a:off x="330201" y="46139100"/>
          <a:ext cx="6178550" cy="2323410"/>
        </a:xfrm>
        <a:prstGeom prst="rect">
          <a:avLst/>
        </a:prstGeom>
      </xdr:spPr>
    </xdr:pic>
    <xdr:clientData/>
  </xdr:twoCellAnchor>
  <xdr:twoCellAnchor editAs="oneCell">
    <xdr:from>
      <xdr:col>2</xdr:col>
      <xdr:colOff>1</xdr:colOff>
      <xdr:row>264</xdr:row>
      <xdr:rowOff>0</xdr:rowOff>
    </xdr:from>
    <xdr:to>
      <xdr:col>10</xdr:col>
      <xdr:colOff>600076</xdr:colOff>
      <xdr:row>277</xdr:row>
      <xdr:rowOff>25872</xdr:rowOff>
    </xdr:to>
    <xdr:pic>
      <xdr:nvPicPr>
        <xdr:cNvPr id="52" name="Picture 51">
          <a:extLst>
            <a:ext uri="{FF2B5EF4-FFF2-40B4-BE49-F238E27FC236}">
              <a16:creationId xmlns:a16="http://schemas.microsoft.com/office/drawing/2014/main" id="{9CEE5D20-1F4F-8DD2-A664-48BBBB98F327}"/>
            </a:ext>
          </a:extLst>
        </xdr:cNvPr>
        <xdr:cNvPicPr>
          <a:picLocks noChangeAspect="1"/>
        </xdr:cNvPicPr>
      </xdr:nvPicPr>
      <xdr:blipFill>
        <a:blip xmlns:r="http://schemas.openxmlformats.org/officeDocument/2006/relationships" r:embed="rId51"/>
        <a:stretch>
          <a:fillRect/>
        </a:stretch>
      </xdr:blipFill>
      <xdr:spPr>
        <a:xfrm>
          <a:off x="330201" y="48717200"/>
          <a:ext cx="6134100" cy="2422997"/>
        </a:xfrm>
        <a:prstGeom prst="rect">
          <a:avLst/>
        </a:prstGeom>
      </xdr:spPr>
    </xdr:pic>
    <xdr:clientData/>
  </xdr:twoCellAnchor>
  <xdr:twoCellAnchor editAs="oneCell">
    <xdr:from>
      <xdr:col>2</xdr:col>
      <xdr:colOff>0</xdr:colOff>
      <xdr:row>278</xdr:row>
      <xdr:rowOff>0</xdr:rowOff>
    </xdr:from>
    <xdr:to>
      <xdr:col>10</xdr:col>
      <xdr:colOff>590550</xdr:colOff>
      <xdr:row>293</xdr:row>
      <xdr:rowOff>69570</xdr:rowOff>
    </xdr:to>
    <xdr:pic>
      <xdr:nvPicPr>
        <xdr:cNvPr id="53" name="Picture 52">
          <a:extLst>
            <a:ext uri="{FF2B5EF4-FFF2-40B4-BE49-F238E27FC236}">
              <a16:creationId xmlns:a16="http://schemas.microsoft.com/office/drawing/2014/main" id="{708DDA27-4AF2-0787-0F5B-5ED987BFF1CD}"/>
            </a:ext>
          </a:extLst>
        </xdr:cNvPr>
        <xdr:cNvPicPr>
          <a:picLocks noChangeAspect="1"/>
        </xdr:cNvPicPr>
      </xdr:nvPicPr>
      <xdr:blipFill>
        <a:blip xmlns:r="http://schemas.openxmlformats.org/officeDocument/2006/relationships" r:embed="rId52"/>
        <a:stretch>
          <a:fillRect/>
        </a:stretch>
      </xdr:blipFill>
      <xdr:spPr>
        <a:xfrm>
          <a:off x="330200" y="51295300"/>
          <a:ext cx="6127750" cy="2828645"/>
        </a:xfrm>
        <a:prstGeom prst="rect">
          <a:avLst/>
        </a:prstGeom>
      </xdr:spPr>
    </xdr:pic>
    <xdr:clientData/>
  </xdr:twoCellAnchor>
  <xdr:twoCellAnchor editAs="oneCell">
    <xdr:from>
      <xdr:col>86</xdr:col>
      <xdr:colOff>228600</xdr:colOff>
      <xdr:row>250</xdr:row>
      <xdr:rowOff>1</xdr:rowOff>
    </xdr:from>
    <xdr:to>
      <xdr:col>96</xdr:col>
      <xdr:colOff>38293</xdr:colOff>
      <xdr:row>262</xdr:row>
      <xdr:rowOff>1</xdr:rowOff>
    </xdr:to>
    <xdr:pic>
      <xdr:nvPicPr>
        <xdr:cNvPr id="54" name="Picture 53">
          <a:extLst>
            <a:ext uri="{FF2B5EF4-FFF2-40B4-BE49-F238E27FC236}">
              <a16:creationId xmlns:a16="http://schemas.microsoft.com/office/drawing/2014/main" id="{EC700C95-07F0-91E1-EBEF-CB2EE10B3AEB}"/>
            </a:ext>
          </a:extLst>
        </xdr:cNvPr>
        <xdr:cNvPicPr>
          <a:picLocks noChangeAspect="1"/>
        </xdr:cNvPicPr>
      </xdr:nvPicPr>
      <xdr:blipFill>
        <a:blip xmlns:r="http://schemas.openxmlformats.org/officeDocument/2006/relationships" r:embed="rId53"/>
        <a:stretch>
          <a:fillRect/>
        </a:stretch>
      </xdr:blipFill>
      <xdr:spPr>
        <a:xfrm>
          <a:off x="52152550" y="46139101"/>
          <a:ext cx="5905693" cy="2203450"/>
        </a:xfrm>
        <a:prstGeom prst="rect">
          <a:avLst/>
        </a:prstGeom>
      </xdr:spPr>
    </xdr:pic>
    <xdr:clientData/>
  </xdr:twoCellAnchor>
  <xdr:twoCellAnchor editAs="oneCell">
    <xdr:from>
      <xdr:col>86</xdr:col>
      <xdr:colOff>76201</xdr:colOff>
      <xdr:row>263</xdr:row>
      <xdr:rowOff>25401</xdr:rowOff>
    </xdr:from>
    <xdr:to>
      <xdr:col>96</xdr:col>
      <xdr:colOff>19051</xdr:colOff>
      <xdr:row>275</xdr:row>
      <xdr:rowOff>123948</xdr:rowOff>
    </xdr:to>
    <xdr:pic>
      <xdr:nvPicPr>
        <xdr:cNvPr id="55" name="Picture 54">
          <a:extLst>
            <a:ext uri="{FF2B5EF4-FFF2-40B4-BE49-F238E27FC236}">
              <a16:creationId xmlns:a16="http://schemas.microsoft.com/office/drawing/2014/main" id="{134ADC10-FDB9-6D74-6B26-0CED436DDC5C}"/>
            </a:ext>
          </a:extLst>
        </xdr:cNvPr>
        <xdr:cNvPicPr>
          <a:picLocks noChangeAspect="1"/>
        </xdr:cNvPicPr>
      </xdr:nvPicPr>
      <xdr:blipFill>
        <a:blip xmlns:r="http://schemas.openxmlformats.org/officeDocument/2006/relationships" r:embed="rId54"/>
        <a:stretch>
          <a:fillRect/>
        </a:stretch>
      </xdr:blipFill>
      <xdr:spPr>
        <a:xfrm>
          <a:off x="52000151" y="48558451"/>
          <a:ext cx="6038850" cy="2311522"/>
        </a:xfrm>
        <a:prstGeom prst="rect">
          <a:avLst/>
        </a:prstGeom>
      </xdr:spPr>
    </xdr:pic>
    <xdr:clientData/>
  </xdr:twoCellAnchor>
  <xdr:twoCellAnchor editAs="oneCell">
    <xdr:from>
      <xdr:col>86</xdr:col>
      <xdr:colOff>25401</xdr:colOff>
      <xdr:row>276</xdr:row>
      <xdr:rowOff>127000</xdr:rowOff>
    </xdr:from>
    <xdr:to>
      <xdr:col>96</xdr:col>
      <xdr:colOff>28576</xdr:colOff>
      <xdr:row>289</xdr:row>
      <xdr:rowOff>8534</xdr:rowOff>
    </xdr:to>
    <xdr:pic>
      <xdr:nvPicPr>
        <xdr:cNvPr id="56" name="Picture 55">
          <a:extLst>
            <a:ext uri="{FF2B5EF4-FFF2-40B4-BE49-F238E27FC236}">
              <a16:creationId xmlns:a16="http://schemas.microsoft.com/office/drawing/2014/main" id="{755947E4-9887-A92C-F740-762A238B382B}"/>
            </a:ext>
          </a:extLst>
        </xdr:cNvPr>
        <xdr:cNvPicPr>
          <a:picLocks noChangeAspect="1"/>
        </xdr:cNvPicPr>
      </xdr:nvPicPr>
      <xdr:blipFill>
        <a:blip xmlns:r="http://schemas.openxmlformats.org/officeDocument/2006/relationships" r:embed="rId55"/>
        <a:stretch>
          <a:fillRect/>
        </a:stretch>
      </xdr:blipFill>
      <xdr:spPr>
        <a:xfrm>
          <a:off x="51949351" y="51054000"/>
          <a:ext cx="6096000" cy="22786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10</xdr:col>
      <xdr:colOff>259715</xdr:colOff>
      <xdr:row>42</xdr:row>
      <xdr:rowOff>161980</xdr:rowOff>
    </xdr:to>
    <xdr:pic>
      <xdr:nvPicPr>
        <xdr:cNvPr id="2" name="Picture 1">
          <a:extLst>
            <a:ext uri="{FF2B5EF4-FFF2-40B4-BE49-F238E27FC236}">
              <a16:creationId xmlns:a16="http://schemas.microsoft.com/office/drawing/2014/main" id="{C84E585E-A314-B53A-7DEB-4A66BA43B128}"/>
            </a:ext>
          </a:extLst>
        </xdr:cNvPr>
        <xdr:cNvPicPr>
          <a:picLocks noChangeAspect="1"/>
        </xdr:cNvPicPr>
      </xdr:nvPicPr>
      <xdr:blipFill>
        <a:blip xmlns:r="http://schemas.openxmlformats.org/officeDocument/2006/relationships" r:embed="rId1"/>
        <a:stretch>
          <a:fillRect/>
        </a:stretch>
      </xdr:blipFill>
      <xdr:spPr>
        <a:xfrm>
          <a:off x="609600" y="904875"/>
          <a:ext cx="5800725" cy="6858055"/>
        </a:xfrm>
        <a:prstGeom prst="rect">
          <a:avLst/>
        </a:prstGeom>
      </xdr:spPr>
    </xdr:pic>
    <xdr:clientData/>
  </xdr:twoCellAnchor>
  <xdr:twoCellAnchor editAs="oneCell">
    <xdr:from>
      <xdr:col>11</xdr:col>
      <xdr:colOff>300990</xdr:colOff>
      <xdr:row>1</xdr:row>
      <xdr:rowOff>169545</xdr:rowOff>
    </xdr:from>
    <xdr:to>
      <xdr:col>23</xdr:col>
      <xdr:colOff>542290</xdr:colOff>
      <xdr:row>42</xdr:row>
      <xdr:rowOff>152345</xdr:rowOff>
    </xdr:to>
    <xdr:pic>
      <xdr:nvPicPr>
        <xdr:cNvPr id="3" name="Picture 2">
          <a:extLst>
            <a:ext uri="{FF2B5EF4-FFF2-40B4-BE49-F238E27FC236}">
              <a16:creationId xmlns:a16="http://schemas.microsoft.com/office/drawing/2014/main" id="{7B810169-2D73-5568-2FF1-4E808AACDA2F}"/>
            </a:ext>
          </a:extLst>
        </xdr:cNvPr>
        <xdr:cNvPicPr>
          <a:picLocks noChangeAspect="1"/>
        </xdr:cNvPicPr>
      </xdr:nvPicPr>
      <xdr:blipFill>
        <a:blip xmlns:r="http://schemas.openxmlformats.org/officeDocument/2006/relationships" r:embed="rId2"/>
        <a:stretch>
          <a:fillRect/>
        </a:stretch>
      </xdr:blipFill>
      <xdr:spPr>
        <a:xfrm>
          <a:off x="7016115" y="344170"/>
          <a:ext cx="7480300" cy="7142425"/>
        </a:xfrm>
        <a:prstGeom prst="rect">
          <a:avLst/>
        </a:prstGeom>
      </xdr:spPr>
    </xdr:pic>
    <xdr:clientData/>
  </xdr:twoCellAnchor>
  <xdr:twoCellAnchor editAs="oneCell">
    <xdr:from>
      <xdr:col>24</xdr:col>
      <xdr:colOff>552450</xdr:colOff>
      <xdr:row>4</xdr:row>
      <xdr:rowOff>114299</xdr:rowOff>
    </xdr:from>
    <xdr:to>
      <xdr:col>32</xdr:col>
      <xdr:colOff>533400</xdr:colOff>
      <xdr:row>45</xdr:row>
      <xdr:rowOff>537</xdr:rowOff>
    </xdr:to>
    <xdr:pic>
      <xdr:nvPicPr>
        <xdr:cNvPr id="5" name="Picture 4">
          <a:extLst>
            <a:ext uri="{FF2B5EF4-FFF2-40B4-BE49-F238E27FC236}">
              <a16:creationId xmlns:a16="http://schemas.microsoft.com/office/drawing/2014/main" id="{7E9B40B6-CA61-C5DE-B818-C0F69DE6B4D6}"/>
            </a:ext>
          </a:extLst>
        </xdr:cNvPr>
        <xdr:cNvPicPr>
          <a:picLocks noChangeAspect="1"/>
        </xdr:cNvPicPr>
      </xdr:nvPicPr>
      <xdr:blipFill>
        <a:blip xmlns:r="http://schemas.openxmlformats.org/officeDocument/2006/relationships" r:embed="rId3"/>
        <a:stretch>
          <a:fillRect/>
        </a:stretch>
      </xdr:blipFill>
      <xdr:spPr>
        <a:xfrm>
          <a:off x="15182850" y="838199"/>
          <a:ext cx="4857750" cy="73062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etorgft810220-my.sharepoint.com/personal/larry_finstrat_co_uk/Documents/Documents/Feb%202018%20Work/TUHF%20CoJ%20Finance/CoJ%20Unauthorised%20Expenditure%202024.xlsx" TargetMode="External"/><Relationship Id="rId1" Type="http://schemas.openxmlformats.org/officeDocument/2006/relationships/externalLinkPath" Target="https://netorgft810220-my.sharepoint.com/personal/larry_finstrat_co_uk/Documents/Documents/Feb%202018%20Work/TUHF%20CoJ%20Finance/CoJ%20Unauthorised%20Expenditu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nauthorised Expenditure by Dep"/>
      <sheetName val="Unauthorised Expenditure by Typ"/>
    </sheetNames>
    <sheetDataSet>
      <sheetData sheetId="0"/>
      <sheetData sheetId="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joburg.org.za/documents_/Documents/City-of-Johannesburg-Integrated-Annual-Report_2023.24.pdf" TargetMode="External"/><Relationship Id="rId1" Type="http://schemas.openxmlformats.org/officeDocument/2006/relationships/hyperlink" Target="https://municipalities.co.za/financial/2/city-of-johannesburg-metropolitan-municipality"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municipalities.co.za/services/2/city-of-johannesburg-metropolitan-municipality"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https://lg.treasury.gov.za/supportingdocs/JHB/JHB_Financial%20Statement%20Audited_2021_Y_20220218T112916Z_5405.pdf" TargetMode="External"/><Relationship Id="rId18" Type="http://schemas.openxmlformats.org/officeDocument/2006/relationships/hyperlink" Target="http://mfma.treasury.gov.za/Documents/05.%20Annual%20Financial%20Statements/2015-16/Audited/01.%20Metros/JHB%20City%20of%20Johannesburg/JHB%20City%20of%20Johannesburg%20Consolidated%20AFS%202015-16%20audited.pdf" TargetMode="External"/><Relationship Id="rId26" Type="http://schemas.openxmlformats.org/officeDocument/2006/relationships/hyperlink" Target="http://mfma.treasury.gov.za/Documents/01.%20Integrated%20Development%20Plans/2017-18/02.%20Final/01.%20Metros/JHB%20City%20of%20Johannesburg/JHB%20City%20of%20Johannesburg%20Final%20IDP%202017-18.pdf" TargetMode="External"/><Relationship Id="rId39" Type="http://schemas.openxmlformats.org/officeDocument/2006/relationships/hyperlink" Target="http://mfma.treasury.gov.za/Media_Releases/s71/1516/4th_1516/Documents/MBRR/01.%20Metros/JHB%204th%20Q%20S71%2011%20August%202016.xls" TargetMode="External"/><Relationship Id="rId21" Type="http://schemas.openxmlformats.org/officeDocument/2006/relationships/hyperlink" Target="http://mfma.treasury.gov.za/Documents/05.%20Annual%20Financial%20Statements/2012-13/Audited/01.%20Metros/JHB%20City%20of%20Johannesburg/JHB%20City%20of%20Johannesburg%20Consolidated%20AFS%202012-13%20audited.pdf" TargetMode="External"/><Relationship Id="rId34" Type="http://schemas.openxmlformats.org/officeDocument/2006/relationships/hyperlink" Target="http://mfma.treasury.gov.za/Media_Releases/s71/2021/4th_2021/Documents/MBRR/01.%20Metros/JHB%20City%20of%20Johannesburg%20-%201%20August%202021.xls" TargetMode="External"/><Relationship Id="rId42" Type="http://schemas.openxmlformats.org/officeDocument/2006/relationships/hyperlink" Target="http://mfma.treasury.gov.za/Media_Releases/s71/1213/4th_2013/Documents/MBRR/01.%20Metros/JHB%20City%20of%20Johannesburg%20-%20S71%20Q4%20-%2031%20July%202013.xls" TargetMode="External"/><Relationship Id="rId7" Type="http://schemas.openxmlformats.org/officeDocument/2006/relationships/hyperlink" Target="http://mfma.treasury.gov.za/Documents/06.%20Annual%20Reports/2016-17/01.%20Metros/JHB%20City%20of%20Johannesburg/JHB%20City%20of%20Johannesburg%20Annual%20report%202016-17.pdf" TargetMode="External"/><Relationship Id="rId2" Type="http://schemas.openxmlformats.org/officeDocument/2006/relationships/hyperlink" Target="https://lg.treasury.gov.za/supportingdocs/JHB/JHB_Annual%20Report%20Final_2022_Y_20230302T095805Z_ntuthuzeloa.pdf" TargetMode="External"/><Relationship Id="rId16" Type="http://schemas.openxmlformats.org/officeDocument/2006/relationships/hyperlink" Target="http://mfma.treasury.gov.za/Documents/05.%20Annual%20Financial%20Statements/2017-18/Audited/01.%20Metros/JHB%20City%20of%20Johannesburg/JHB%20Joburg%20Market%20AFS%202017-18%20audited.pdf" TargetMode="External"/><Relationship Id="rId29" Type="http://schemas.openxmlformats.org/officeDocument/2006/relationships/hyperlink" Target="http://mfma.treasury.gov.za/Documents/01.%20Integrated%20Development%20Plans/2014-15/01.%20Metros/JHB%20City%20of%20Johannesburg/JHB%20City%20of%20Johannesburg%20IDP%202014-15.pdf" TargetMode="External"/><Relationship Id="rId1" Type="http://schemas.openxmlformats.org/officeDocument/2006/relationships/hyperlink" Target="https://municipalities.co.za/resources/2/city-of-johannesburg-metropolitan-municipality" TargetMode="External"/><Relationship Id="rId6" Type="http://schemas.openxmlformats.org/officeDocument/2006/relationships/hyperlink" Target="http://mfma.treasury.gov.za/Documents/06.%20Annual%20Reports/2017-18/01.%20Metros/JHB%20City%20of%20Johannesburg/JHB%20City%20of%20Johannesburg%20Annual%20report%202017-18.pdf" TargetMode="External"/><Relationship Id="rId11" Type="http://schemas.openxmlformats.org/officeDocument/2006/relationships/hyperlink" Target="http://mfma.treasury.gov.za/Documents/06.%20Annual%20Reports/2011-12/01.%20Metros/JHB%20City%20of%20Johannesburg/JHB%20City%20of%20Johannesburg%20Annual%20report%202011-12.pdf" TargetMode="External"/><Relationship Id="rId24" Type="http://schemas.openxmlformats.org/officeDocument/2006/relationships/hyperlink" Target="http://mfma.treasury.gov.za/Documents/01.%20Integrated%20Development%20Plans/2019-20/01.%20Metros/JHB%20City%20of%20Johannesburg/JHB%20City%20of%20Johannesburg%20IDP%202019-20.pdf" TargetMode="External"/><Relationship Id="rId32" Type="http://schemas.openxmlformats.org/officeDocument/2006/relationships/hyperlink" Target="http://mfma.treasury.gov.za/Documents/01.%20Integrated%20Development%20Plans/2011-12/01.%20Metros/JHB%20Johannesburg/JHB%20-%20Johannesburg%20-%20IDP%20-%202012.pdf" TargetMode="External"/><Relationship Id="rId37" Type="http://schemas.openxmlformats.org/officeDocument/2006/relationships/hyperlink" Target="http://mfma.treasury.gov.za/Media_Releases/s71/1718/4th_1718/Documents/MBRR/01.%20Metros/JHB%20City%20of%20Johannesburg%20-%203%20Aug%202018.xls" TargetMode="External"/><Relationship Id="rId40" Type="http://schemas.openxmlformats.org/officeDocument/2006/relationships/hyperlink" Target="http://mfma.treasury.gov.za/Media_Releases/s71/1415/4th_1415/Documents/MBRR/01.%20Metros/JHB%20Q4%20-%2005%20August%202015.xls" TargetMode="External"/><Relationship Id="rId45" Type="http://schemas.openxmlformats.org/officeDocument/2006/relationships/printerSettings" Target="../printerSettings/printerSettings11.bin"/><Relationship Id="rId5" Type="http://schemas.openxmlformats.org/officeDocument/2006/relationships/hyperlink" Target="http://mfma.treasury.gov.za/Documents/06.%20Annual%20Reports/2018-19/01.%20Metros/JHB%20City%20of%20Johannesburg/JHB%20City%20of%20Johannesburg%20Annual%20report%202018-19.pdf" TargetMode="External"/><Relationship Id="rId15" Type="http://schemas.openxmlformats.org/officeDocument/2006/relationships/hyperlink" Target="http://mfma.treasury.gov.za/Documents/05.%20Annual%20Financial%20Statements/2018-19/Audited/01.%20Metros/JHB%20City%20of%20Johannesburg/JHB%20City%20of%20Johannesburg%20Consolidated%20AFS%202018-19%20audited.pdf" TargetMode="External"/><Relationship Id="rId23" Type="http://schemas.openxmlformats.org/officeDocument/2006/relationships/hyperlink" Target="http://mfma.treasury.gov.za/Documents/05.%20Annual%20Financial%20Statements/2010-11/01.%20Metros/JHB%20Johannesburg/JHB%20City%20of%20Johannesburg%20Consolidated%20AFS%202010-11%20Audited.pdf" TargetMode="External"/><Relationship Id="rId28" Type="http://schemas.openxmlformats.org/officeDocument/2006/relationships/hyperlink" Target="http://mfma.treasury.gov.za/Documents/01.%20Integrated%20Development%20Plans/2015-16/01.%20Metros/JHB%20City%20of%20Johannesburg/JHB%20City%20of%20Johannesburg%20Draft%20IDP%202015%2016.pdf" TargetMode="External"/><Relationship Id="rId36" Type="http://schemas.openxmlformats.org/officeDocument/2006/relationships/hyperlink" Target="http://mfma.treasury.gov.za/Media_Releases/s71/1819/4th_1819/Documents/MBRR/01.%20Metros/JHB%20C%20S71%20Q4%20-%2008%20August%202019.xls" TargetMode="External"/><Relationship Id="rId10" Type="http://schemas.openxmlformats.org/officeDocument/2006/relationships/hyperlink" Target="http://mfma.treasury.gov.za/Documents/06.%20Annual%20Reports/2012-13/01.%20Metros/JHB%20City%20of%20Johannesburg/JHB%20City%20of%20Johannesburg%20Annual%20report%202012-13.pdf" TargetMode="External"/><Relationship Id="rId19" Type="http://schemas.openxmlformats.org/officeDocument/2006/relationships/hyperlink" Target="http://mfma.treasury.gov.za/Documents/05.%20Annual%20Financial%20Statements/2014-15/Audited/00.%20Metros/JHB%20City%20of%20Johannesburg/JHB%20Consolidated%20AFS%202014-15%20audited.pdf" TargetMode="External"/><Relationship Id="rId31" Type="http://schemas.openxmlformats.org/officeDocument/2006/relationships/hyperlink" Target="http://mfma.treasury.gov.za/Documents/01.%20Integrated%20Development%20Plans/2012-13/01.%20Metros/COJ%20City%20of%20Johannesburg/COJ%20City%20of%20Johannesburg%20-%20IDP%20-%202012-13.pdf" TargetMode="External"/><Relationship Id="rId44" Type="http://schemas.openxmlformats.org/officeDocument/2006/relationships/hyperlink" Target="http://mfma.treasury.gov.za/Media_Releases/s71/1011/4th_1011/Documents/Schedule%20C/01.%20Metros/JHB%20City%20of%20Johannesburg%20-%2012%20Aug%202011.xls" TargetMode="External"/><Relationship Id="rId4" Type="http://schemas.openxmlformats.org/officeDocument/2006/relationships/hyperlink" Target="http://mfma.treasury.gov.za/Documents/06.%20Annual%20Reports/2019-20/01.%20Metros/JHB%20City%20of%20Johannesburg/City%20of%20Johannesburg%20Annual%20Report%202019-20.pdf" TargetMode="External"/><Relationship Id="rId9" Type="http://schemas.openxmlformats.org/officeDocument/2006/relationships/hyperlink" Target="http://mfma.treasury.gov.za/Documents/06.%20Annual%20Reports/2013-14/01.%20Metros/JHB%20City%20of%20Johannesburg/JHB%20City%20of%20Johannesburg%20Annual%20report%202013-14.pdf" TargetMode="External"/><Relationship Id="rId14" Type="http://schemas.openxmlformats.org/officeDocument/2006/relationships/hyperlink" Target="http://mfma.treasury.gov.za/Documents/05.%20Annual%20Financial%20Statements/2019-20/Audited/01.%20Metros/JHB%20City%20of%20Johannesburg/JHB%20City%20of%20Johannesburg%20Consolidated%20AFS%202019-20%20audited.pdf" TargetMode="External"/><Relationship Id="rId22" Type="http://schemas.openxmlformats.org/officeDocument/2006/relationships/hyperlink" Target="http://mfma.treasury.gov.za/Documents/05.%20Annual%20Financial%20Statements/2011-12/01.%20Metros/JHB%20City%20of%20Johannesburg/JHB%20City%20of%20Johannesburg%20Consolidated%20AFS%202011-12%20audited.pdf" TargetMode="External"/><Relationship Id="rId27" Type="http://schemas.openxmlformats.org/officeDocument/2006/relationships/hyperlink" Target="http://mfma.treasury.gov.za/Documents/01.%20Integrated%20Development%20Plans/2016-17/01.%20Metro/JHB%20City%20of%20Johannesburg/JHB%20City%20of%20Johannesburg%20Draft%20IDP%202016-17.pdf" TargetMode="External"/><Relationship Id="rId30" Type="http://schemas.openxmlformats.org/officeDocument/2006/relationships/hyperlink" Target="http://mfma.treasury.gov.za/Documents/01.%20Integrated%20Development%20Plans/2013-14/01.%20Metros/JHB%20City%20of%20Johannesburg/Monitoring%20and%20Evaluation%20Framework.pdf" TargetMode="External"/><Relationship Id="rId35" Type="http://schemas.openxmlformats.org/officeDocument/2006/relationships/hyperlink" Target="http://mfma.treasury.gov.za/Media_Releases/s71/1920/4th_1920/Documents/MBRR/01.%20Metros/JHB%20City%20of%20Johannesburg.xls" TargetMode="External"/><Relationship Id="rId43" Type="http://schemas.openxmlformats.org/officeDocument/2006/relationships/hyperlink" Target="http://mfma.treasury.gov.za/Media_Releases/s71/1112/4th_1112/Documents/Schedule%20C/01.%20Metros/05.%20Johannesburg%204th%20Q%20S71%20-%201%20Aug%202012.xls" TargetMode="External"/><Relationship Id="rId8" Type="http://schemas.openxmlformats.org/officeDocument/2006/relationships/hyperlink" Target="http://mfma.treasury.gov.za/Documents/06.%20Annual%20Reports/2014-15/01.%20Metros/JHB%20City%20of%20Johannesburg/JHB%20City%20of%20Johannesburg%20Annual%20report%202014-15.pdf" TargetMode="External"/><Relationship Id="rId3" Type="http://schemas.openxmlformats.org/officeDocument/2006/relationships/hyperlink" Target="https://lg.treasury.gov.za/supportingdocs/JHB/JHB_Annual%20Report%20Final_2021_Y_20220519T101354Z_ntuthuzeloa.pdf" TargetMode="External"/><Relationship Id="rId12" Type="http://schemas.openxmlformats.org/officeDocument/2006/relationships/hyperlink" Target="https://lg.treasury.gov.za/supportingdocs/JHB/JHB_Financial%20Statement%20Audited_2022_Y_20230113T143840Z_nselelon.pdf" TargetMode="External"/><Relationship Id="rId17" Type="http://schemas.openxmlformats.org/officeDocument/2006/relationships/hyperlink" Target="http://mfma.treasury.gov.za/Documents/05.%20Annual%20Financial%20Statements/2016-17/Audited/01.%20Metros/JHB%20City%20of%20Johannesburg/JHB%20City%20of%20Johannesburg%20Consolidated%20AFS%202016-17%20audited.pdf" TargetMode="External"/><Relationship Id="rId25" Type="http://schemas.openxmlformats.org/officeDocument/2006/relationships/hyperlink" Target="http://mfma.treasury.gov.za/Documents/01.%20Integrated%20Development%20Plans/2018-19/01.%20Metros/JHB%20City%20of%20Johannesburg/JHB%20City%20of%20Johannesburg%20Capital%20projects%202018-19.pdf" TargetMode="External"/><Relationship Id="rId33" Type="http://schemas.openxmlformats.org/officeDocument/2006/relationships/hyperlink" Target="http://mfma.treasury.gov.za/Media_Releases/s71/2122/4th_2122/Documents/MBRR/01.%20Metro%20municipalities/JHB%20City%20of%20Johannesburg%20C%20Schedule%20-%2011%20August%202022.xlsx" TargetMode="External"/><Relationship Id="rId38" Type="http://schemas.openxmlformats.org/officeDocument/2006/relationships/hyperlink" Target="http://mfma.treasury.gov.za/Media_Releases/s71/1617/4th_1617/Documents/MBRR/01.%20Metros/JHB%20C1%20-%2031%20July%202017.xls" TargetMode="External"/><Relationship Id="rId20" Type="http://schemas.openxmlformats.org/officeDocument/2006/relationships/hyperlink" Target="http://mfma.treasury.gov.za/Documents/05.%20Annual%20Financial%20Statements/2013-14/Audited/01.%20Metros/JHB%20City%20Of%20Johannesburg/JHB%20City%20Of%20Johannesburg%20Audited%20Annual%20Financial%20Statements%202013-14.pdf" TargetMode="External"/><Relationship Id="rId41" Type="http://schemas.openxmlformats.org/officeDocument/2006/relationships/hyperlink" Target="http://mfma.treasury.gov.za/Media_Releases/s71/1314/4th_1314/Documents/MBRR/01.%20Metros/JHB%20-%2006%20August%202014.xls"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municipalities.co.za/financial/2/city-of-johannesburg-metropolitan-municipality"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worlddata.info/africa/south-africa/inflation-rates"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municipalities.co.za/financial/2/city-of-johannesburg-metropolitan-municipality" TargetMode="External"/><Relationship Id="rId7" Type="http://schemas.openxmlformats.org/officeDocument/2006/relationships/hyperlink" Target="https://municipalities.co.za/financial/2/city-of-johannesburg-metropolitan-municipality" TargetMode="External"/><Relationship Id="rId2" Type="http://schemas.openxmlformats.org/officeDocument/2006/relationships/hyperlink" Target="https://municipalities.co.za/financial/2/city-of-johannesburg-metropolitan-municipality" TargetMode="External"/><Relationship Id="rId1" Type="http://schemas.openxmlformats.org/officeDocument/2006/relationships/hyperlink" Target="https://municipalities.co.za/financial/2/city-of-johannesburg-metropolitan-municipality" TargetMode="External"/><Relationship Id="rId6" Type="http://schemas.openxmlformats.org/officeDocument/2006/relationships/hyperlink" Target="https://municipalities.co.za/financial/2/city-of-johannesburg-metropolitan-municipality" TargetMode="External"/><Relationship Id="rId5" Type="http://schemas.openxmlformats.org/officeDocument/2006/relationships/hyperlink" Target="https://municipalities.co.za/services/2/city-of-johannesburg-metropolitan-municipality" TargetMode="External"/><Relationship Id="rId10" Type="http://schemas.openxmlformats.org/officeDocument/2006/relationships/comments" Target="../comments1.xml"/><Relationship Id="rId4" Type="http://schemas.openxmlformats.org/officeDocument/2006/relationships/hyperlink" Target="https://municipalities.co.za/employment/2/city-of-johannesburg-metropolitan-municipality" TargetMode="External"/><Relationship Id="rId9"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3" Type="http://schemas.openxmlformats.org/officeDocument/2006/relationships/hyperlink" Target="https://municipalities.co.za/financial/2/city-of-johannesburg-metropolitan-municipality" TargetMode="External"/><Relationship Id="rId2" Type="http://schemas.openxmlformats.org/officeDocument/2006/relationships/hyperlink" Target="https://municipalities.co.za/financial/2/city-of-johannesburg-metropolitan-municipality" TargetMode="External"/><Relationship Id="rId1" Type="http://schemas.openxmlformats.org/officeDocument/2006/relationships/hyperlink" Target="https://municipalities.co.za/financial/2/city-of-johannesburg-metropolitan-municipality" TargetMode="External"/><Relationship Id="rId5" Type="http://schemas.openxmlformats.org/officeDocument/2006/relationships/printerSettings" Target="../printerSettings/printerSettings8.bin"/><Relationship Id="rId4" Type="http://schemas.openxmlformats.org/officeDocument/2006/relationships/hyperlink" Target="https://municipalities.co.za/financial/2/city-of-johannesburg-metropolitan-municipality"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municipalities.co.za/employment/2/city-of-johannesburg-metropolitan-municipali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04A75-524D-4C33-9245-20BC171E259E}">
  <sheetPr>
    <pageSetUpPr fitToPage="1"/>
  </sheetPr>
  <dimension ref="A1:E72"/>
  <sheetViews>
    <sheetView view="pageBreakPreview" zoomScale="90" zoomScaleNormal="100" zoomScaleSheetLayoutView="90" workbookViewId="0">
      <selection activeCell="D8" sqref="D8"/>
    </sheetView>
  </sheetViews>
  <sheetFormatPr defaultRowHeight="14.4" x14ac:dyDescent="0.3"/>
  <cols>
    <col min="1" max="2" width="3.5546875" customWidth="1"/>
    <col min="3" max="3" width="41.44140625" customWidth="1"/>
    <col min="4" max="4" width="59.5546875" customWidth="1"/>
    <col min="5" max="5" width="35.77734375" customWidth="1"/>
  </cols>
  <sheetData>
    <row r="1" spans="1:5" ht="18" x14ac:dyDescent="0.35">
      <c r="C1" s="78" t="s">
        <v>234</v>
      </c>
    </row>
    <row r="2" spans="1:5" ht="18" x14ac:dyDescent="0.35">
      <c r="C2" s="78" t="s">
        <v>235</v>
      </c>
    </row>
    <row r="3" spans="1:5" ht="18" x14ac:dyDescent="0.35">
      <c r="C3" s="83" t="s">
        <v>586</v>
      </c>
    </row>
    <row r="4" spans="1:5" ht="18" x14ac:dyDescent="0.35">
      <c r="C4" s="78" t="s">
        <v>509</v>
      </c>
    </row>
    <row r="5" spans="1:5" x14ac:dyDescent="0.3">
      <c r="C5" s="11" t="s">
        <v>58</v>
      </c>
    </row>
    <row r="6" spans="1:5" x14ac:dyDescent="0.3">
      <c r="C6" s="11" t="s">
        <v>510</v>
      </c>
    </row>
    <row r="9" spans="1:5" ht="18" x14ac:dyDescent="0.3">
      <c r="B9" s="65"/>
      <c r="C9" s="113" t="s">
        <v>511</v>
      </c>
      <c r="D9" s="65"/>
      <c r="E9" s="65"/>
    </row>
    <row r="10" spans="1:5" x14ac:dyDescent="0.3">
      <c r="B10" s="65"/>
      <c r="C10" s="65"/>
      <c r="D10" s="65"/>
      <c r="E10" s="65"/>
    </row>
    <row r="11" spans="1:5" ht="15.6" x14ac:dyDescent="0.3">
      <c r="B11" s="65"/>
      <c r="C11" s="200" t="s">
        <v>572</v>
      </c>
      <c r="D11" s="200" t="s">
        <v>573</v>
      </c>
      <c r="E11" s="200" t="s">
        <v>574</v>
      </c>
    </row>
    <row r="12" spans="1:5" x14ac:dyDescent="0.3">
      <c r="B12" s="65"/>
      <c r="C12" s="65"/>
      <c r="D12" s="65"/>
      <c r="E12" s="65"/>
    </row>
    <row r="14" spans="1:5" x14ac:dyDescent="0.3">
      <c r="A14" s="211"/>
      <c r="B14" s="65">
        <v>1</v>
      </c>
      <c r="C14" s="65" t="s">
        <v>521</v>
      </c>
      <c r="D14" s="65" t="s">
        <v>584</v>
      </c>
      <c r="E14" s="201" t="s">
        <v>549</v>
      </c>
    </row>
    <row r="15" spans="1:5" x14ac:dyDescent="0.3">
      <c r="B15" s="65"/>
      <c r="C15" s="65"/>
      <c r="D15" s="65"/>
      <c r="E15" s="65"/>
    </row>
    <row r="16" spans="1:5" x14ac:dyDescent="0.3">
      <c r="A16" s="212"/>
      <c r="B16" s="65">
        <v>2</v>
      </c>
      <c r="C16" s="65" t="s">
        <v>512</v>
      </c>
      <c r="D16" s="65" t="s">
        <v>585</v>
      </c>
      <c r="E16" s="201" t="s">
        <v>514</v>
      </c>
    </row>
    <row r="17" spans="1:5" x14ac:dyDescent="0.3">
      <c r="B17" s="65"/>
      <c r="C17" s="65"/>
      <c r="D17" s="65" t="s">
        <v>105</v>
      </c>
      <c r="E17" s="201" t="s">
        <v>515</v>
      </c>
    </row>
    <row r="18" spans="1:5" x14ac:dyDescent="0.3">
      <c r="B18" s="65"/>
      <c r="C18" s="65"/>
      <c r="D18" s="65" t="s">
        <v>513</v>
      </c>
      <c r="E18" s="201" t="s">
        <v>516</v>
      </c>
    </row>
    <row r="19" spans="1:5" x14ac:dyDescent="0.3">
      <c r="B19" s="65"/>
      <c r="C19" s="65"/>
      <c r="D19" s="65" t="s">
        <v>64</v>
      </c>
      <c r="E19" s="201" t="s">
        <v>517</v>
      </c>
    </row>
    <row r="20" spans="1:5" x14ac:dyDescent="0.3">
      <c r="B20" s="65"/>
      <c r="C20" s="65"/>
      <c r="D20" s="65"/>
      <c r="E20" s="65"/>
    </row>
    <row r="21" spans="1:5" x14ac:dyDescent="0.3">
      <c r="B21" s="65"/>
      <c r="C21" s="65"/>
      <c r="D21" s="65"/>
      <c r="E21" s="65"/>
    </row>
    <row r="22" spans="1:5" ht="28.8" x14ac:dyDescent="0.3">
      <c r="A22" s="213"/>
      <c r="B22" s="65">
        <v>3</v>
      </c>
      <c r="C22" s="65" t="s">
        <v>519</v>
      </c>
      <c r="D22" s="64" t="s">
        <v>575</v>
      </c>
      <c r="E22" s="201" t="s">
        <v>520</v>
      </c>
    </row>
    <row r="23" spans="1:5" x14ac:dyDescent="0.3">
      <c r="B23" s="65"/>
      <c r="C23" s="65"/>
      <c r="D23" s="65"/>
      <c r="E23" s="65"/>
    </row>
    <row r="24" spans="1:5" x14ac:dyDescent="0.3">
      <c r="A24" s="213"/>
      <c r="B24" s="65">
        <v>4</v>
      </c>
      <c r="C24" s="65" t="s">
        <v>546</v>
      </c>
      <c r="D24" s="65" t="s">
        <v>580</v>
      </c>
      <c r="E24" s="65"/>
    </row>
    <row r="25" spans="1:5" x14ac:dyDescent="0.3">
      <c r="B25" s="65"/>
      <c r="C25" s="65"/>
      <c r="D25" s="65"/>
      <c r="E25" s="65"/>
    </row>
    <row r="26" spans="1:5" x14ac:dyDescent="0.3">
      <c r="A26" s="214"/>
      <c r="B26" s="65">
        <v>5</v>
      </c>
      <c r="C26" s="65" t="s">
        <v>551</v>
      </c>
      <c r="D26" s="65" t="s">
        <v>237</v>
      </c>
      <c r="E26" s="201" t="s">
        <v>550</v>
      </c>
    </row>
    <row r="27" spans="1:5" x14ac:dyDescent="0.3">
      <c r="B27" s="65"/>
      <c r="C27" s="65"/>
      <c r="D27" s="65"/>
      <c r="E27" s="65"/>
    </row>
    <row r="28" spans="1:5" x14ac:dyDescent="0.3">
      <c r="B28" s="65">
        <v>6</v>
      </c>
      <c r="C28" s="65" t="s">
        <v>582</v>
      </c>
      <c r="D28" s="216" t="s">
        <v>583</v>
      </c>
      <c r="E28" s="65"/>
    </row>
    <row r="29" spans="1:5" x14ac:dyDescent="0.3">
      <c r="B29" s="65"/>
      <c r="C29" s="65"/>
      <c r="D29" s="217"/>
      <c r="E29" s="65"/>
    </row>
    <row r="30" spans="1:5" x14ac:dyDescent="0.3">
      <c r="A30" s="215"/>
      <c r="B30" s="65"/>
      <c r="C30" s="65" t="s">
        <v>552</v>
      </c>
      <c r="D30" s="217"/>
      <c r="E30" s="201" t="s">
        <v>560</v>
      </c>
    </row>
    <row r="31" spans="1:5" x14ac:dyDescent="0.3">
      <c r="A31" s="213"/>
      <c r="B31" s="65"/>
      <c r="C31" s="65" t="s">
        <v>553</v>
      </c>
      <c r="D31" s="217"/>
      <c r="E31" s="201" t="s">
        <v>561</v>
      </c>
    </row>
    <row r="32" spans="1:5" x14ac:dyDescent="0.3">
      <c r="A32" s="213"/>
      <c r="B32" s="65"/>
      <c r="C32" s="65" t="s">
        <v>554</v>
      </c>
      <c r="D32" s="217"/>
      <c r="E32" s="201" t="s">
        <v>562</v>
      </c>
    </row>
    <row r="33" spans="1:5" x14ac:dyDescent="0.3">
      <c r="A33" s="213"/>
      <c r="B33" s="65"/>
      <c r="C33" s="65" t="s">
        <v>555</v>
      </c>
      <c r="D33" s="218"/>
      <c r="E33" s="201" t="s">
        <v>563</v>
      </c>
    </row>
    <row r="34" spans="1:5" x14ac:dyDescent="0.3">
      <c r="B34" s="65"/>
      <c r="C34" s="65"/>
      <c r="D34" s="65"/>
      <c r="E34" s="65"/>
    </row>
    <row r="35" spans="1:5" x14ac:dyDescent="0.3">
      <c r="A35" s="213"/>
      <c r="B35" s="65">
        <v>7</v>
      </c>
      <c r="C35" s="65" t="s">
        <v>556</v>
      </c>
      <c r="D35" s="65" t="s">
        <v>588</v>
      </c>
      <c r="E35" s="201" t="s">
        <v>566</v>
      </c>
    </row>
    <row r="36" spans="1:5" x14ac:dyDescent="0.3">
      <c r="B36" s="65"/>
      <c r="C36" s="65"/>
      <c r="D36" s="65"/>
      <c r="E36" s="65"/>
    </row>
    <row r="37" spans="1:5" x14ac:dyDescent="0.3">
      <c r="A37" s="213"/>
      <c r="B37" s="65">
        <v>8</v>
      </c>
      <c r="C37" s="65" t="s">
        <v>557</v>
      </c>
      <c r="D37" s="65" t="s">
        <v>589</v>
      </c>
      <c r="E37" s="201" t="s">
        <v>567</v>
      </c>
    </row>
    <row r="38" spans="1:5" x14ac:dyDescent="0.3">
      <c r="B38" s="65"/>
      <c r="C38" s="65"/>
      <c r="D38" s="65"/>
      <c r="E38" s="65"/>
    </row>
    <row r="39" spans="1:5" x14ac:dyDescent="0.3">
      <c r="A39" s="213"/>
      <c r="B39" s="65">
        <v>9</v>
      </c>
      <c r="C39" s="65" t="s">
        <v>559</v>
      </c>
      <c r="D39" s="65" t="s">
        <v>590</v>
      </c>
      <c r="E39" s="201" t="s">
        <v>570</v>
      </c>
    </row>
    <row r="40" spans="1:5" x14ac:dyDescent="0.3">
      <c r="B40" s="65"/>
      <c r="C40" s="65"/>
      <c r="D40" s="65"/>
      <c r="E40" s="65"/>
    </row>
    <row r="41" spans="1:5" x14ac:dyDescent="0.3">
      <c r="A41" s="213"/>
      <c r="B41" s="65">
        <v>10</v>
      </c>
      <c r="C41" s="65" t="s">
        <v>558</v>
      </c>
      <c r="D41" s="65" t="s">
        <v>591</v>
      </c>
      <c r="E41" s="201" t="s">
        <v>571</v>
      </c>
    </row>
    <row r="42" spans="1:5" x14ac:dyDescent="0.3">
      <c r="B42" s="65"/>
      <c r="C42" s="65"/>
      <c r="D42" s="65"/>
      <c r="E42" s="65"/>
    </row>
    <row r="43" spans="1:5" x14ac:dyDescent="0.3">
      <c r="B43" s="65"/>
      <c r="C43" s="65"/>
      <c r="D43" s="65"/>
      <c r="E43" s="65"/>
    </row>
    <row r="44" spans="1:5" x14ac:dyDescent="0.3">
      <c r="B44" s="65"/>
      <c r="C44" s="65"/>
      <c r="D44" s="65"/>
      <c r="E44" s="65"/>
    </row>
    <row r="45" spans="1:5" x14ac:dyDescent="0.3">
      <c r="B45" s="65"/>
      <c r="C45" s="65"/>
      <c r="D45" s="65"/>
      <c r="E45" s="65"/>
    </row>
    <row r="46" spans="1:5" x14ac:dyDescent="0.3">
      <c r="B46" s="65"/>
      <c r="C46" s="65"/>
      <c r="D46" s="65"/>
      <c r="E46" s="65"/>
    </row>
    <row r="47" spans="1:5" x14ac:dyDescent="0.3">
      <c r="B47" s="65"/>
      <c r="C47" s="65"/>
      <c r="D47" s="65"/>
      <c r="E47" s="65"/>
    </row>
    <row r="48" spans="1:5" x14ac:dyDescent="0.3">
      <c r="B48" s="65"/>
      <c r="C48" s="65"/>
      <c r="D48" s="65"/>
      <c r="E48" s="65"/>
    </row>
    <row r="49" spans="2:5" x14ac:dyDescent="0.3">
      <c r="B49" s="65"/>
      <c r="C49" s="65"/>
      <c r="D49" s="65"/>
      <c r="E49" s="65"/>
    </row>
    <row r="50" spans="2:5" x14ac:dyDescent="0.3">
      <c r="B50" s="65"/>
      <c r="C50" s="65"/>
      <c r="D50" s="65"/>
      <c r="E50" s="65"/>
    </row>
    <row r="51" spans="2:5" x14ac:dyDescent="0.3">
      <c r="B51" s="65"/>
      <c r="C51" s="65"/>
      <c r="D51" s="65"/>
      <c r="E51" s="65"/>
    </row>
    <row r="52" spans="2:5" x14ac:dyDescent="0.3">
      <c r="B52" s="65"/>
      <c r="C52" s="65"/>
      <c r="D52" s="65"/>
      <c r="E52" s="65"/>
    </row>
    <row r="53" spans="2:5" x14ac:dyDescent="0.3">
      <c r="B53" s="65"/>
      <c r="C53" s="65"/>
      <c r="D53" s="65"/>
      <c r="E53" s="65"/>
    </row>
    <row r="54" spans="2:5" x14ac:dyDescent="0.3">
      <c r="B54" s="65"/>
      <c r="C54" s="65"/>
      <c r="D54" s="65"/>
      <c r="E54" s="65"/>
    </row>
    <row r="55" spans="2:5" x14ac:dyDescent="0.3">
      <c r="B55" s="65"/>
      <c r="C55" s="65"/>
      <c r="D55" s="65"/>
      <c r="E55" s="65"/>
    </row>
    <row r="56" spans="2:5" x14ac:dyDescent="0.3">
      <c r="B56" s="65"/>
      <c r="C56" s="65"/>
      <c r="D56" s="65"/>
      <c r="E56" s="65"/>
    </row>
    <row r="57" spans="2:5" x14ac:dyDescent="0.3">
      <c r="B57" s="65"/>
      <c r="C57" s="65"/>
      <c r="D57" s="65"/>
      <c r="E57" s="65"/>
    </row>
    <row r="58" spans="2:5" x14ac:dyDescent="0.3">
      <c r="B58" s="65"/>
      <c r="C58" s="65"/>
      <c r="D58" s="65"/>
      <c r="E58" s="65"/>
    </row>
    <row r="59" spans="2:5" x14ac:dyDescent="0.3">
      <c r="B59" s="65"/>
      <c r="C59" s="65"/>
      <c r="D59" s="65"/>
      <c r="E59" s="65"/>
    </row>
    <row r="60" spans="2:5" x14ac:dyDescent="0.3">
      <c r="B60" s="65"/>
      <c r="C60" s="65"/>
      <c r="D60" s="65"/>
      <c r="E60" s="65"/>
    </row>
    <row r="61" spans="2:5" x14ac:dyDescent="0.3">
      <c r="B61" s="65"/>
      <c r="C61" s="65"/>
      <c r="D61" s="65"/>
      <c r="E61" s="65"/>
    </row>
    <row r="62" spans="2:5" x14ac:dyDescent="0.3">
      <c r="B62" s="65"/>
      <c r="C62" s="65"/>
      <c r="D62" s="65"/>
      <c r="E62" s="65"/>
    </row>
    <row r="63" spans="2:5" x14ac:dyDescent="0.3">
      <c r="B63" s="65"/>
      <c r="C63" s="65"/>
      <c r="D63" s="65"/>
      <c r="E63" s="65"/>
    </row>
    <row r="64" spans="2:5" x14ac:dyDescent="0.3">
      <c r="B64" s="65"/>
      <c r="C64" s="65"/>
      <c r="D64" s="65"/>
      <c r="E64" s="65"/>
    </row>
    <row r="65" spans="2:5" x14ac:dyDescent="0.3">
      <c r="B65" s="65"/>
      <c r="C65" s="65"/>
      <c r="D65" s="65"/>
      <c r="E65" s="65"/>
    </row>
    <row r="66" spans="2:5" x14ac:dyDescent="0.3">
      <c r="B66" s="65"/>
      <c r="C66" s="65"/>
      <c r="D66" s="65"/>
      <c r="E66" s="65"/>
    </row>
    <row r="67" spans="2:5" x14ac:dyDescent="0.3">
      <c r="B67" s="65"/>
      <c r="C67" s="65"/>
      <c r="D67" s="65"/>
      <c r="E67" s="65"/>
    </row>
    <row r="68" spans="2:5" x14ac:dyDescent="0.3">
      <c r="B68" s="65"/>
      <c r="C68" s="65"/>
      <c r="D68" s="65"/>
      <c r="E68" s="65"/>
    </row>
    <row r="69" spans="2:5" x14ac:dyDescent="0.3">
      <c r="B69" s="65"/>
      <c r="C69" s="65"/>
      <c r="D69" s="65"/>
      <c r="E69" s="65"/>
    </row>
    <row r="70" spans="2:5" x14ac:dyDescent="0.3">
      <c r="B70" s="65"/>
      <c r="C70" s="65"/>
      <c r="D70" s="65"/>
      <c r="E70" s="65"/>
    </row>
    <row r="71" spans="2:5" x14ac:dyDescent="0.3">
      <c r="B71" s="65"/>
      <c r="C71" s="65"/>
      <c r="D71" s="65"/>
      <c r="E71" s="65"/>
    </row>
    <row r="72" spans="2:5" x14ac:dyDescent="0.3">
      <c r="B72" s="65"/>
      <c r="C72" s="65"/>
      <c r="D72" s="65"/>
      <c r="E72" s="65"/>
    </row>
  </sheetData>
  <hyperlinks>
    <hyperlink ref="C5" r:id="rId1" xr:uid="{F2356403-E911-4727-A4FA-BDC21139D7C4}"/>
    <hyperlink ref="C6" r:id="rId2" xr:uid="{007B6EB2-7CE8-4DAB-B208-DC115429B7D6}"/>
    <hyperlink ref="E16" location="'Tables &amp; Charts 7yrs'!J2" display="'Tables &amp; Charts 7yrs'!J2" xr:uid="{06E694AB-6D58-43FD-A380-222FCA4EC484}"/>
    <hyperlink ref="E17" location="'Tables &amp; Charts 7yrs'!J22" display="'Tables &amp; Charts 7yrs'!J22" xr:uid="{EB077233-D28E-4627-AF0D-F1297158CF8D}"/>
    <hyperlink ref="E18" location="'Tables &amp; Charts 7yrs'!J38" display="'Tables &amp; Charts 7yrs'!J38" xr:uid="{BDF04F43-E70B-4FA8-9094-136054584806}"/>
    <hyperlink ref="E19" location="'Tables &amp; Charts 7yrs'!J63" display="'Tables &amp; Charts 7yrs'!J63" xr:uid="{19C12577-205F-4437-A694-FE683B3A6D26}"/>
    <hyperlink ref="E22" location="'Oversight Report Summary 2024'!A1" display="'Oversight Report Summary 2024'!A1" xr:uid="{9C0EE914-E0D0-4FE9-A30A-DF9F38A236FF}"/>
    <hyperlink ref="E14" location="'AFS Summary &amp; Charts 15yrs'!C55" display="'AFS Summary &amp; Charts 15yrs'!C55" xr:uid="{8BAEABE6-E176-4B19-BBB2-98FFDAD909C6}"/>
    <hyperlink ref="E26" location="'Audited AFS 14yrs'!B5" display="'Audited AFS 14yrs'!B5" xr:uid="{1A51A67F-CAD1-42D8-B687-B03149B7206D}"/>
    <hyperlink ref="E30" location="'Combined 7yrs'!L5" display="'Combined 7yrs'!L5" xr:uid="{664E9894-94DC-45FA-A6AB-A3BD23AFA698}"/>
    <hyperlink ref="E31" location="'Finance 7yrs'!J5" display="'Finance 7yrs'!J5" xr:uid="{38DA2DC8-CEF3-4E75-BA46-BF535B7E4BFF}"/>
    <hyperlink ref="E32" location="'Employment 5yrs'!J5" display="'Employment 5yrs'!J5" xr:uid="{7D2B3B2B-0096-4F06-ADAF-A5811FD72425}"/>
    <hyperlink ref="E33" location="'Services 5yrs'!J5" display="'Services 5yrs'!J5" xr:uid="{5B2D326C-C047-4B19-9689-97EFBE436295}"/>
    <hyperlink ref="E35" location="'Capex Analysis 21-22'!H2" display="'Capex Analysis 21-22'!H2" xr:uid="{B1AD8169-FF1E-4FFF-BC81-755D2C8AB904}"/>
    <hyperlink ref="E37" location="'CoJ Dept''l Finance Report 2023'!D3" display="'CoJ Dept''l Finance Report 2023'!D3" xr:uid="{D8D118BD-133C-4AC3-A4A9-BB4D538F5A63}"/>
    <hyperlink ref="E39" location="'Unauthorised Expenditure by Dep'!E3" display="'Unauthorised Expenditure by Dep'!E3" xr:uid="{28DF8C50-3B8E-4C8F-B939-E4497521C5F0}"/>
    <hyperlink ref="E41" location="'Unauthorised Expenditure by Typ'!E3" display="'Unauthorised Expenditure by Typ'!E3" xr:uid="{AD985D8D-3DC9-49C1-8290-A325EC0F704B}"/>
  </hyperlinks>
  <pageMargins left="0.27559055118110237" right="0.23622047244094491" top="0.47244094488188981" bottom="0.31496062992125984" header="0.31496062992125984" footer="0.11811023622047245"/>
  <pageSetup paperSize="9" scale="85" orientation="landscape" r:id="rId3"/>
  <headerFooter>
    <oddFooter>&amp;R&amp;F &amp;A &amp;D P&amp;P/&amp;N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4AECB-BCB7-4B93-B903-74063F6C6105}">
  <sheetPr>
    <pageSetUpPr fitToPage="1"/>
  </sheetPr>
  <dimension ref="C1:S41"/>
  <sheetViews>
    <sheetView view="pageBreakPreview" zoomScale="80" zoomScaleNormal="100" zoomScaleSheetLayoutView="80" workbookViewId="0">
      <selection activeCell="G5" sqref="G5"/>
    </sheetView>
  </sheetViews>
  <sheetFormatPr defaultRowHeight="14.4" outlineLevelCol="1" x14ac:dyDescent="0.3"/>
  <cols>
    <col min="1" max="2" width="2.21875" customWidth="1"/>
    <col min="3" max="3" width="47.44140625" customWidth="1"/>
    <col min="4" max="4" width="10.21875" customWidth="1"/>
    <col min="5" max="5" width="11.21875" customWidth="1"/>
    <col min="6" max="8" width="12.21875" bestFit="1" customWidth="1"/>
    <col min="9" max="10" width="12.21875" customWidth="1"/>
    <col min="11" max="11" width="12.21875" bestFit="1" customWidth="1"/>
    <col min="12" max="12" width="0" hidden="1" customWidth="1" outlineLevel="1"/>
    <col min="13" max="13" width="83.77734375" hidden="1" customWidth="1" outlineLevel="1"/>
    <col min="14" max="18" width="9.5546875" hidden="1" customWidth="1" outlineLevel="1"/>
    <col min="19" max="19" width="8.77734375" collapsed="1"/>
  </cols>
  <sheetData>
    <row r="1" spans="3:18" ht="18" x14ac:dyDescent="0.35">
      <c r="C1" s="78" t="s">
        <v>234</v>
      </c>
    </row>
    <row r="2" spans="3:18" ht="18" x14ac:dyDescent="0.35">
      <c r="C2" s="78" t="s">
        <v>242</v>
      </c>
    </row>
    <row r="3" spans="3:18" ht="18" x14ac:dyDescent="0.35">
      <c r="C3" s="78" t="s">
        <v>238</v>
      </c>
    </row>
    <row r="5" spans="3:18" x14ac:dyDescent="0.3">
      <c r="C5" s="11" t="s">
        <v>108</v>
      </c>
      <c r="I5" s="160" t="s">
        <v>518</v>
      </c>
    </row>
    <row r="7" spans="3:18" ht="16.2" thickBot="1" x14ac:dyDescent="0.35">
      <c r="C7" s="36" t="s">
        <v>76</v>
      </c>
      <c r="D7" s="36"/>
      <c r="E7" s="36"/>
      <c r="M7" s="90" t="s">
        <v>76</v>
      </c>
    </row>
    <row r="8" spans="3:18" ht="15" thickBot="1" x14ac:dyDescent="0.35">
      <c r="C8" s="10"/>
      <c r="D8" s="7" t="s">
        <v>63</v>
      </c>
      <c r="E8" s="7" t="s">
        <v>62</v>
      </c>
      <c r="F8" s="7" t="s">
        <v>5</v>
      </c>
      <c r="G8" s="7" t="s">
        <v>4</v>
      </c>
      <c r="H8" s="7" t="s">
        <v>3</v>
      </c>
      <c r="I8" s="92" t="s">
        <v>2</v>
      </c>
      <c r="J8" s="92" t="s">
        <v>1</v>
      </c>
      <c r="M8" s="91"/>
      <c r="N8" s="92" t="s">
        <v>1</v>
      </c>
      <c r="O8" s="92" t="s">
        <v>2</v>
      </c>
      <c r="P8" s="92" t="s">
        <v>3</v>
      </c>
      <c r="Q8" s="92" t="s">
        <v>4</v>
      </c>
      <c r="R8" s="92" t="s">
        <v>5</v>
      </c>
    </row>
    <row r="9" spans="3:18" ht="15" thickBot="1" x14ac:dyDescent="0.35">
      <c r="C9" s="13" t="s">
        <v>77</v>
      </c>
      <c r="D9" s="15"/>
      <c r="E9" s="14"/>
      <c r="F9" s="14"/>
      <c r="G9" s="14"/>
      <c r="H9" s="14"/>
      <c r="I9" s="19"/>
      <c r="J9" s="19"/>
      <c r="L9">
        <f>IF(C9=M9,1,0)</f>
        <v>1</v>
      </c>
      <c r="M9" s="18" t="s">
        <v>77</v>
      </c>
      <c r="N9" s="19"/>
      <c r="O9" s="19"/>
      <c r="P9" s="19"/>
      <c r="Q9" s="19"/>
      <c r="R9" s="20"/>
    </row>
    <row r="10" spans="3:18" ht="15" thickBot="1" x14ac:dyDescent="0.35">
      <c r="C10" s="4" t="s">
        <v>78</v>
      </c>
      <c r="D10" s="5" t="s">
        <v>79</v>
      </c>
      <c r="E10" s="5" t="s">
        <v>79</v>
      </c>
      <c r="F10" s="5" t="s">
        <v>79</v>
      </c>
      <c r="G10" s="5" t="s">
        <v>79</v>
      </c>
      <c r="H10" s="5" t="s">
        <v>79</v>
      </c>
      <c r="I10" s="94" t="s">
        <v>79</v>
      </c>
      <c r="J10" s="94" t="s">
        <v>79</v>
      </c>
      <c r="L10">
        <f>IF(C10=M10,1,0)</f>
        <v>1</v>
      </c>
      <c r="M10" s="99" t="s">
        <v>78</v>
      </c>
      <c r="N10" s="94" t="s">
        <v>79</v>
      </c>
      <c r="O10" s="94" t="s">
        <v>79</v>
      </c>
      <c r="P10" s="94" t="s">
        <v>79</v>
      </c>
      <c r="Q10" s="94" t="s">
        <v>79</v>
      </c>
      <c r="R10" s="94" t="s">
        <v>79</v>
      </c>
    </row>
    <row r="11" spans="3:18" ht="15" thickBot="1" x14ac:dyDescent="0.35">
      <c r="C11" s="4" t="s">
        <v>80</v>
      </c>
      <c r="D11" s="5" t="s">
        <v>79</v>
      </c>
      <c r="E11" s="5" t="s">
        <v>79</v>
      </c>
      <c r="F11" s="5" t="s">
        <v>79</v>
      </c>
      <c r="G11" s="5" t="s">
        <v>79</v>
      </c>
      <c r="H11" s="5" t="s">
        <v>79</v>
      </c>
      <c r="I11" s="94"/>
      <c r="J11" s="94"/>
      <c r="M11" s="99"/>
      <c r="N11" s="94"/>
      <c r="O11" s="94"/>
      <c r="P11" s="94"/>
      <c r="Q11" s="94"/>
      <c r="R11" s="94"/>
    </row>
    <row r="12" spans="3:18" ht="29.4" thickBot="1" x14ac:dyDescent="0.35">
      <c r="C12" s="4" t="s">
        <v>81</v>
      </c>
      <c r="D12" s="21">
        <v>982427</v>
      </c>
      <c r="E12" s="21">
        <v>988554</v>
      </c>
      <c r="F12" s="21">
        <v>993960</v>
      </c>
      <c r="G12" s="21">
        <v>1004505</v>
      </c>
      <c r="H12" s="21">
        <v>1127192</v>
      </c>
      <c r="I12" s="94" t="s">
        <v>389</v>
      </c>
      <c r="J12" s="94" t="s">
        <v>388</v>
      </c>
      <c r="L12">
        <f t="shared" ref="L12:L19" si="0">IF(C12=M12,1,0)</f>
        <v>1</v>
      </c>
      <c r="M12" s="99" t="s">
        <v>81</v>
      </c>
      <c r="N12" s="94" t="s">
        <v>388</v>
      </c>
      <c r="O12" s="94" t="s">
        <v>389</v>
      </c>
      <c r="P12" s="94" t="s">
        <v>389</v>
      </c>
      <c r="Q12" s="94" t="s">
        <v>390</v>
      </c>
      <c r="R12" s="94" t="s">
        <v>391</v>
      </c>
    </row>
    <row r="13" spans="3:18" ht="15" thickBot="1" x14ac:dyDescent="0.35">
      <c r="C13" s="4" t="s">
        <v>82</v>
      </c>
      <c r="D13" s="21">
        <v>942096</v>
      </c>
      <c r="E13" s="21">
        <v>949079</v>
      </c>
      <c r="F13" s="21">
        <v>953277</v>
      </c>
      <c r="G13" s="21">
        <v>963822</v>
      </c>
      <c r="H13" s="21">
        <v>1025498</v>
      </c>
      <c r="I13" s="94" t="s">
        <v>393</v>
      </c>
      <c r="J13" s="94" t="s">
        <v>392</v>
      </c>
      <c r="L13">
        <f t="shared" si="0"/>
        <v>1</v>
      </c>
      <c r="M13" s="99" t="s">
        <v>82</v>
      </c>
      <c r="N13" s="94" t="s">
        <v>392</v>
      </c>
      <c r="O13" s="94" t="s">
        <v>393</v>
      </c>
      <c r="P13" s="94" t="s">
        <v>393</v>
      </c>
      <c r="Q13" s="94" t="s">
        <v>394</v>
      </c>
      <c r="R13" s="94" t="s">
        <v>395</v>
      </c>
    </row>
    <row r="14" spans="3:18" ht="15" thickBot="1" x14ac:dyDescent="0.35">
      <c r="C14" s="4" t="s">
        <v>83</v>
      </c>
      <c r="D14" s="21">
        <v>839634</v>
      </c>
      <c r="E14" s="21">
        <v>849406</v>
      </c>
      <c r="F14" s="21">
        <v>853604</v>
      </c>
      <c r="G14" s="21">
        <v>855862</v>
      </c>
      <c r="H14" s="21">
        <v>917538</v>
      </c>
      <c r="I14" s="94" t="s">
        <v>397</v>
      </c>
      <c r="J14" s="94" t="s">
        <v>396</v>
      </c>
      <c r="L14">
        <f t="shared" si="0"/>
        <v>1</v>
      </c>
      <c r="M14" s="99" t="s">
        <v>83</v>
      </c>
      <c r="N14" s="94" t="s">
        <v>396</v>
      </c>
      <c r="O14" s="94" t="s">
        <v>397</v>
      </c>
      <c r="P14" s="94" t="s">
        <v>397</v>
      </c>
      <c r="Q14" s="94" t="s">
        <v>398</v>
      </c>
      <c r="R14" s="94" t="s">
        <v>399</v>
      </c>
    </row>
    <row r="15" spans="3:18" ht="15" thickBot="1" x14ac:dyDescent="0.35">
      <c r="C15" s="4" t="s">
        <v>84</v>
      </c>
      <c r="D15" s="21">
        <v>102462</v>
      </c>
      <c r="E15" s="21">
        <v>99673</v>
      </c>
      <c r="F15" s="21">
        <v>99673</v>
      </c>
      <c r="G15" s="21">
        <v>107960</v>
      </c>
      <c r="H15" s="21">
        <v>107960</v>
      </c>
      <c r="I15" s="94" t="s">
        <v>401</v>
      </c>
      <c r="J15" s="94" t="s">
        <v>400</v>
      </c>
      <c r="L15">
        <f t="shared" si="0"/>
        <v>1</v>
      </c>
      <c r="M15" s="99" t="s">
        <v>84</v>
      </c>
      <c r="N15" s="94" t="s">
        <v>400</v>
      </c>
      <c r="O15" s="94" t="s">
        <v>401</v>
      </c>
      <c r="P15" s="94" t="s">
        <v>401</v>
      </c>
      <c r="Q15" s="94" t="s">
        <v>401</v>
      </c>
      <c r="R15" s="94" t="s">
        <v>402</v>
      </c>
    </row>
    <row r="16" spans="3:18" ht="15" thickBot="1" x14ac:dyDescent="0.35">
      <c r="C16" s="4" t="s">
        <v>85</v>
      </c>
      <c r="D16" s="21">
        <v>0</v>
      </c>
      <c r="E16" s="21">
        <v>0</v>
      </c>
      <c r="F16" s="21">
        <v>0</v>
      </c>
      <c r="G16" s="21">
        <v>0</v>
      </c>
      <c r="H16" s="21">
        <v>0</v>
      </c>
      <c r="I16" s="94">
        <v>0</v>
      </c>
      <c r="J16" s="94">
        <v>0</v>
      </c>
      <c r="L16">
        <f t="shared" si="0"/>
        <v>1</v>
      </c>
      <c r="M16" s="99" t="s">
        <v>85</v>
      </c>
      <c r="N16" s="94">
        <v>0</v>
      </c>
      <c r="O16" s="94">
        <v>0</v>
      </c>
      <c r="P16" s="94">
        <v>0</v>
      </c>
      <c r="Q16" s="94">
        <v>0</v>
      </c>
      <c r="R16" s="94">
        <v>0</v>
      </c>
    </row>
    <row r="17" spans="3:18" ht="15" thickBot="1" x14ac:dyDescent="0.35">
      <c r="C17" s="4" t="s">
        <v>86</v>
      </c>
      <c r="D17" s="21">
        <v>31430</v>
      </c>
      <c r="E17" s="21">
        <v>31394</v>
      </c>
      <c r="F17" s="21">
        <v>33423</v>
      </c>
      <c r="G17" s="21">
        <v>14110</v>
      </c>
      <c r="H17" s="21">
        <v>13206</v>
      </c>
      <c r="I17" s="94" t="s">
        <v>404</v>
      </c>
      <c r="J17" s="94" t="s">
        <v>403</v>
      </c>
      <c r="L17">
        <f t="shared" si="0"/>
        <v>1</v>
      </c>
      <c r="M17" s="99" t="s">
        <v>86</v>
      </c>
      <c r="N17" s="94" t="s">
        <v>403</v>
      </c>
      <c r="O17" s="94" t="s">
        <v>404</v>
      </c>
      <c r="P17" s="94" t="s">
        <v>405</v>
      </c>
      <c r="Q17" s="94" t="s">
        <v>406</v>
      </c>
      <c r="R17" s="94" t="s">
        <v>407</v>
      </c>
    </row>
    <row r="18" spans="3:18" ht="15" thickBot="1" x14ac:dyDescent="0.35">
      <c r="C18" s="18" t="s">
        <v>87</v>
      </c>
      <c r="D18" s="39"/>
      <c r="E18" s="38"/>
      <c r="F18" s="38"/>
      <c r="G18" s="38"/>
      <c r="H18" s="38"/>
      <c r="I18" s="97"/>
      <c r="J18" s="97"/>
      <c r="L18">
        <f t="shared" si="0"/>
        <v>1</v>
      </c>
      <c r="M18" s="96" t="s">
        <v>87</v>
      </c>
      <c r="N18" s="97"/>
      <c r="O18" s="97"/>
      <c r="P18" s="97"/>
      <c r="Q18" s="97"/>
      <c r="R18" s="98"/>
    </row>
    <row r="19" spans="3:18" ht="15" thickBot="1" x14ac:dyDescent="0.35">
      <c r="C19" s="4" t="s">
        <v>78</v>
      </c>
      <c r="D19" s="21" t="s">
        <v>79</v>
      </c>
      <c r="E19" s="21" t="s">
        <v>79</v>
      </c>
      <c r="F19" s="21" t="s">
        <v>79</v>
      </c>
      <c r="G19" s="21" t="s">
        <v>79</v>
      </c>
      <c r="H19" s="21" t="s">
        <v>79</v>
      </c>
      <c r="I19" s="94" t="s">
        <v>79</v>
      </c>
      <c r="J19" s="94" t="s">
        <v>79</v>
      </c>
      <c r="L19">
        <f t="shared" si="0"/>
        <v>1</v>
      </c>
      <c r="M19" s="99" t="s">
        <v>78</v>
      </c>
      <c r="N19" s="94" t="s">
        <v>79</v>
      </c>
      <c r="O19" s="94" t="s">
        <v>79</v>
      </c>
      <c r="P19" s="94" t="s">
        <v>79</v>
      </c>
      <c r="Q19" s="94" t="s">
        <v>79</v>
      </c>
      <c r="R19" s="94" t="s">
        <v>79</v>
      </c>
    </row>
    <row r="20" spans="3:18" ht="15" thickBot="1" x14ac:dyDescent="0.35">
      <c r="C20" s="4" t="s">
        <v>80</v>
      </c>
      <c r="D20" s="21" t="s">
        <v>79</v>
      </c>
      <c r="E20" s="21" t="s">
        <v>79</v>
      </c>
      <c r="F20" s="21" t="s">
        <v>79</v>
      </c>
      <c r="G20" s="21" t="s">
        <v>79</v>
      </c>
      <c r="H20" s="21" t="s">
        <v>79</v>
      </c>
      <c r="I20" s="94"/>
      <c r="J20" s="94"/>
      <c r="M20" s="99"/>
      <c r="N20" s="94"/>
      <c r="O20" s="94"/>
      <c r="P20" s="94"/>
      <c r="Q20" s="94"/>
      <c r="R20" s="94"/>
    </row>
    <row r="21" spans="3:18" ht="29.4" thickBot="1" x14ac:dyDescent="0.35">
      <c r="C21" s="4" t="s">
        <v>81</v>
      </c>
      <c r="D21" s="21">
        <v>809701</v>
      </c>
      <c r="E21" s="21">
        <v>816018</v>
      </c>
      <c r="F21" s="21">
        <v>819643</v>
      </c>
      <c r="G21" s="21">
        <v>822613</v>
      </c>
      <c r="H21" s="21">
        <v>826301</v>
      </c>
      <c r="I21" s="94" t="s">
        <v>409</v>
      </c>
      <c r="J21" s="94" t="s">
        <v>408</v>
      </c>
      <c r="L21">
        <f>IF(C21=M21,1,0)</f>
        <v>1</v>
      </c>
      <c r="M21" s="99" t="s">
        <v>81</v>
      </c>
      <c r="N21" s="94" t="s">
        <v>408</v>
      </c>
      <c r="O21" s="94" t="s">
        <v>409</v>
      </c>
      <c r="P21" s="94" t="s">
        <v>410</v>
      </c>
      <c r="Q21" s="94" t="s">
        <v>411</v>
      </c>
      <c r="R21" s="94" t="s">
        <v>412</v>
      </c>
    </row>
    <row r="22" spans="3:18" ht="15" thickBot="1" x14ac:dyDescent="0.35">
      <c r="C22" s="4" t="s">
        <v>86</v>
      </c>
      <c r="D22" s="21">
        <v>29554</v>
      </c>
      <c r="E22" s="21">
        <v>16954</v>
      </c>
      <c r="F22" s="21">
        <v>15848</v>
      </c>
      <c r="G22" s="21">
        <v>11520</v>
      </c>
      <c r="H22" s="21">
        <v>14753</v>
      </c>
      <c r="I22" s="94" t="s">
        <v>414</v>
      </c>
      <c r="J22" s="94" t="s">
        <v>413</v>
      </c>
      <c r="L22">
        <f>IF(C22=M22,1,0)</f>
        <v>1</v>
      </c>
      <c r="M22" s="99" t="s">
        <v>86</v>
      </c>
      <c r="N22" s="94" t="s">
        <v>413</v>
      </c>
      <c r="O22" s="94" t="s">
        <v>414</v>
      </c>
      <c r="P22" s="94" t="s">
        <v>415</v>
      </c>
      <c r="Q22" s="94" t="s">
        <v>416</v>
      </c>
      <c r="R22" s="94" t="s">
        <v>417</v>
      </c>
    </row>
    <row r="23" spans="3:18" ht="15" thickBot="1" x14ac:dyDescent="0.35">
      <c r="C23" s="18" t="s">
        <v>88</v>
      </c>
      <c r="D23" s="39"/>
      <c r="E23" s="38"/>
      <c r="F23" s="38"/>
      <c r="G23" s="38"/>
      <c r="H23" s="38"/>
      <c r="I23" s="97"/>
      <c r="J23" s="97"/>
      <c r="L23">
        <f>IF(C23=M23,1,0)</f>
        <v>1</v>
      </c>
      <c r="M23" s="96" t="s">
        <v>88</v>
      </c>
      <c r="N23" s="97"/>
      <c r="O23" s="97"/>
      <c r="P23" s="97"/>
      <c r="Q23" s="97"/>
      <c r="R23" s="98"/>
    </row>
    <row r="24" spans="3:18" ht="15" thickBot="1" x14ac:dyDescent="0.35">
      <c r="C24" s="4" t="s">
        <v>78</v>
      </c>
      <c r="D24" s="21" t="s">
        <v>79</v>
      </c>
      <c r="E24" s="21" t="s">
        <v>79</v>
      </c>
      <c r="F24" s="21" t="s">
        <v>79</v>
      </c>
      <c r="G24" s="21" t="s">
        <v>79</v>
      </c>
      <c r="H24" s="21" t="s">
        <v>79</v>
      </c>
      <c r="I24" s="94" t="s">
        <v>79</v>
      </c>
      <c r="J24" s="94" t="s">
        <v>79</v>
      </c>
      <c r="L24">
        <f>IF(C24=M24,1,0)</f>
        <v>1</v>
      </c>
      <c r="M24" s="99" t="s">
        <v>78</v>
      </c>
      <c r="N24" s="94" t="s">
        <v>79</v>
      </c>
      <c r="O24" s="94" t="s">
        <v>79</v>
      </c>
      <c r="P24" s="94" t="s">
        <v>79</v>
      </c>
      <c r="Q24" s="94" t="s">
        <v>79</v>
      </c>
      <c r="R24" s="94" t="s">
        <v>79</v>
      </c>
    </row>
    <row r="25" spans="3:18" ht="15" thickBot="1" x14ac:dyDescent="0.35">
      <c r="C25" s="4" t="s">
        <v>80</v>
      </c>
      <c r="D25" s="21" t="s">
        <v>79</v>
      </c>
      <c r="E25" s="21" t="s">
        <v>79</v>
      </c>
      <c r="F25" s="21" t="s">
        <v>89</v>
      </c>
      <c r="G25" s="21" t="s">
        <v>89</v>
      </c>
      <c r="H25" s="21" t="s">
        <v>89</v>
      </c>
      <c r="I25" s="94"/>
      <c r="J25" s="94"/>
      <c r="M25" s="99"/>
      <c r="N25" s="94"/>
      <c r="O25" s="94"/>
      <c r="P25" s="94"/>
      <c r="Q25" s="94"/>
      <c r="R25" s="94"/>
    </row>
    <row r="26" spans="3:18" ht="29.4" thickBot="1" x14ac:dyDescent="0.35">
      <c r="C26" s="4" t="s">
        <v>81</v>
      </c>
      <c r="D26" s="21">
        <v>778293</v>
      </c>
      <c r="E26" s="21">
        <v>826944</v>
      </c>
      <c r="F26" s="21">
        <v>860754</v>
      </c>
      <c r="G26" s="21">
        <v>886587</v>
      </c>
      <c r="H26" s="21">
        <v>1035375</v>
      </c>
      <c r="I26" s="94" t="s">
        <v>419</v>
      </c>
      <c r="J26" s="94" t="s">
        <v>418</v>
      </c>
      <c r="L26">
        <f t="shared" ref="L26:L35" si="1">IF(C26=M26,1,0)</f>
        <v>1</v>
      </c>
      <c r="M26" s="99" t="s">
        <v>81</v>
      </c>
      <c r="N26" s="94" t="s">
        <v>418</v>
      </c>
      <c r="O26" s="94" t="s">
        <v>419</v>
      </c>
      <c r="P26" s="94" t="s">
        <v>420</v>
      </c>
      <c r="Q26" s="94" t="s">
        <v>421</v>
      </c>
      <c r="R26" s="94" t="s">
        <v>422</v>
      </c>
    </row>
    <row r="27" spans="3:18" ht="15" thickBot="1" x14ac:dyDescent="0.35">
      <c r="C27" s="37" t="s">
        <v>90</v>
      </c>
      <c r="D27" s="41"/>
      <c r="E27" s="40"/>
      <c r="F27" s="40"/>
      <c r="G27" s="40"/>
      <c r="H27" s="40"/>
      <c r="I27" s="106"/>
      <c r="J27" s="106"/>
      <c r="L27">
        <f t="shared" si="1"/>
        <v>1</v>
      </c>
      <c r="M27" s="37" t="s">
        <v>90</v>
      </c>
      <c r="N27" s="106"/>
      <c r="O27" s="106"/>
      <c r="P27" s="106"/>
      <c r="Q27" s="106"/>
      <c r="R27" s="107"/>
    </row>
    <row r="28" spans="3:18" ht="15" thickBot="1" x14ac:dyDescent="0.35">
      <c r="C28" s="4" t="s">
        <v>91</v>
      </c>
      <c r="D28" s="21">
        <v>678135</v>
      </c>
      <c r="E28" s="21">
        <v>728409</v>
      </c>
      <c r="F28" s="21">
        <v>742198</v>
      </c>
      <c r="G28" s="21">
        <v>764367</v>
      </c>
      <c r="H28" s="21">
        <v>892277</v>
      </c>
      <c r="I28" s="94" t="s">
        <v>424</v>
      </c>
      <c r="J28" s="94" t="s">
        <v>423</v>
      </c>
      <c r="L28">
        <f t="shared" si="1"/>
        <v>1</v>
      </c>
      <c r="M28" s="99" t="s">
        <v>91</v>
      </c>
      <c r="N28" s="94" t="s">
        <v>423</v>
      </c>
      <c r="O28" s="94" t="s">
        <v>424</v>
      </c>
      <c r="P28" s="94" t="s">
        <v>425</v>
      </c>
      <c r="Q28" s="94" t="s">
        <v>426</v>
      </c>
      <c r="R28" s="94" t="s">
        <v>427</v>
      </c>
    </row>
    <row r="29" spans="3:18" ht="15" thickBot="1" x14ac:dyDescent="0.35">
      <c r="C29" s="4" t="s">
        <v>92</v>
      </c>
      <c r="D29" s="21">
        <v>0</v>
      </c>
      <c r="E29" s="21">
        <v>0</v>
      </c>
      <c r="F29" s="21">
        <v>0</v>
      </c>
      <c r="G29" s="21">
        <v>0</v>
      </c>
      <c r="H29" s="21">
        <v>0</v>
      </c>
      <c r="I29" s="94">
        <v>0</v>
      </c>
      <c r="J29" s="94">
        <v>0</v>
      </c>
      <c r="L29">
        <f t="shared" si="1"/>
        <v>1</v>
      </c>
      <c r="M29" s="99" t="s">
        <v>92</v>
      </c>
      <c r="N29" s="94">
        <v>0</v>
      </c>
      <c r="O29" s="94">
        <v>0</v>
      </c>
      <c r="P29" s="94">
        <v>0</v>
      </c>
      <c r="Q29" s="94">
        <v>0</v>
      </c>
      <c r="R29" s="94">
        <v>0</v>
      </c>
    </row>
    <row r="30" spans="3:18" ht="15" thickBot="1" x14ac:dyDescent="0.35">
      <c r="C30" s="27" t="s">
        <v>93</v>
      </c>
      <c r="D30" s="35">
        <v>52971</v>
      </c>
      <c r="E30" s="35">
        <v>52971</v>
      </c>
      <c r="F30" s="35">
        <v>59840</v>
      </c>
      <c r="G30" s="35">
        <v>60309</v>
      </c>
      <c r="H30" s="35">
        <v>60986</v>
      </c>
      <c r="I30" s="94" t="s">
        <v>429</v>
      </c>
      <c r="J30" s="94" t="s">
        <v>428</v>
      </c>
      <c r="L30">
        <f t="shared" si="1"/>
        <v>1</v>
      </c>
      <c r="M30" s="99" t="s">
        <v>93</v>
      </c>
      <c r="N30" s="94" t="s">
        <v>428</v>
      </c>
      <c r="O30" s="94" t="s">
        <v>429</v>
      </c>
      <c r="P30" s="94" t="s">
        <v>430</v>
      </c>
      <c r="Q30" s="94" t="s">
        <v>431</v>
      </c>
      <c r="R30" s="94" t="s">
        <v>432</v>
      </c>
    </row>
    <row r="31" spans="3:18" ht="15" thickBot="1" x14ac:dyDescent="0.35">
      <c r="C31" s="4" t="s">
        <v>94</v>
      </c>
      <c r="D31" s="21">
        <v>0</v>
      </c>
      <c r="E31" s="21">
        <v>0</v>
      </c>
      <c r="F31" s="21">
        <v>0</v>
      </c>
      <c r="G31" s="21">
        <v>0</v>
      </c>
      <c r="H31" s="21">
        <v>0</v>
      </c>
      <c r="I31" s="94">
        <v>0</v>
      </c>
      <c r="J31" s="94">
        <v>0</v>
      </c>
      <c r="L31">
        <f t="shared" si="1"/>
        <v>1</v>
      </c>
      <c r="M31" s="99" t="s">
        <v>94</v>
      </c>
      <c r="N31" s="94">
        <v>0</v>
      </c>
      <c r="O31" s="94">
        <v>0</v>
      </c>
      <c r="P31" s="94">
        <v>0</v>
      </c>
      <c r="Q31" s="94">
        <v>0</v>
      </c>
      <c r="R31" s="94">
        <v>0</v>
      </c>
    </row>
    <row r="32" spans="3:18" ht="15" thickBot="1" x14ac:dyDescent="0.35">
      <c r="C32" s="4" t="s">
        <v>95</v>
      </c>
      <c r="D32" s="21">
        <v>0</v>
      </c>
      <c r="E32" s="21">
        <v>0</v>
      </c>
      <c r="F32" s="21">
        <v>8196</v>
      </c>
      <c r="G32" s="21">
        <v>10855</v>
      </c>
      <c r="H32" s="21">
        <v>19240</v>
      </c>
      <c r="I32" s="94">
        <v>0</v>
      </c>
      <c r="J32" s="94">
        <v>0</v>
      </c>
      <c r="L32">
        <f t="shared" si="1"/>
        <v>1</v>
      </c>
      <c r="M32" s="99" t="s">
        <v>95</v>
      </c>
      <c r="N32" s="94">
        <v>0</v>
      </c>
      <c r="O32" s="94">
        <v>0</v>
      </c>
      <c r="P32" s="94" t="s">
        <v>433</v>
      </c>
      <c r="Q32" s="94" t="s">
        <v>434</v>
      </c>
      <c r="R32" s="94" t="s">
        <v>435</v>
      </c>
    </row>
    <row r="33" spans="3:18" ht="15" thickBot="1" x14ac:dyDescent="0.35">
      <c r="C33" s="4" t="s">
        <v>86</v>
      </c>
      <c r="D33" s="21">
        <v>41133</v>
      </c>
      <c r="E33" s="21">
        <v>39171</v>
      </c>
      <c r="F33" s="21">
        <v>39842</v>
      </c>
      <c r="G33" s="21">
        <v>13593</v>
      </c>
      <c r="H33" s="21">
        <v>12592</v>
      </c>
      <c r="I33" s="94" t="s">
        <v>437</v>
      </c>
      <c r="J33" s="94" t="s">
        <v>436</v>
      </c>
      <c r="L33">
        <f t="shared" si="1"/>
        <v>1</v>
      </c>
      <c r="M33" s="99" t="s">
        <v>86</v>
      </c>
      <c r="N33" s="94" t="s">
        <v>436</v>
      </c>
      <c r="O33" s="94" t="s">
        <v>437</v>
      </c>
      <c r="P33" s="94" t="s">
        <v>438</v>
      </c>
      <c r="Q33" s="94" t="s">
        <v>439</v>
      </c>
      <c r="R33" s="94" t="s">
        <v>440</v>
      </c>
    </row>
    <row r="34" spans="3:18" ht="15" thickBot="1" x14ac:dyDescent="0.35">
      <c r="C34" s="18" t="s">
        <v>96</v>
      </c>
      <c r="D34" s="39"/>
      <c r="E34" s="38"/>
      <c r="G34" s="38"/>
      <c r="H34" s="38"/>
      <c r="I34" s="97"/>
      <c r="J34" s="97"/>
      <c r="L34">
        <f t="shared" si="1"/>
        <v>1</v>
      </c>
      <c r="M34" s="96" t="s">
        <v>96</v>
      </c>
      <c r="N34" s="97"/>
      <c r="O34" s="97"/>
      <c r="P34" s="97"/>
      <c r="Q34" s="97"/>
      <c r="R34" s="98"/>
    </row>
    <row r="35" spans="3:18" ht="15" thickBot="1" x14ac:dyDescent="0.35">
      <c r="C35" s="4" t="s">
        <v>78</v>
      </c>
      <c r="D35" s="21" t="s">
        <v>79</v>
      </c>
      <c r="E35" s="21" t="s">
        <v>79</v>
      </c>
      <c r="F35" s="21" t="s">
        <v>79</v>
      </c>
      <c r="G35" s="21" t="s">
        <v>79</v>
      </c>
      <c r="H35" s="21" t="s">
        <v>79</v>
      </c>
      <c r="I35" s="94" t="s">
        <v>79</v>
      </c>
      <c r="J35" s="94" t="s">
        <v>79</v>
      </c>
      <c r="L35">
        <f t="shared" si="1"/>
        <v>1</v>
      </c>
      <c r="M35" s="99" t="s">
        <v>78</v>
      </c>
      <c r="N35" s="94" t="s">
        <v>79</v>
      </c>
      <c r="O35" s="94" t="s">
        <v>79</v>
      </c>
      <c r="P35" s="94" t="s">
        <v>79</v>
      </c>
      <c r="Q35" s="94" t="s">
        <v>79</v>
      </c>
      <c r="R35" s="94" t="s">
        <v>79</v>
      </c>
    </row>
    <row r="36" spans="3:18" ht="15" thickBot="1" x14ac:dyDescent="0.35">
      <c r="C36" s="4" t="s">
        <v>80</v>
      </c>
      <c r="D36" s="21" t="s">
        <v>79</v>
      </c>
      <c r="E36" s="21" t="s">
        <v>79</v>
      </c>
      <c r="F36" s="21" t="s">
        <v>79</v>
      </c>
      <c r="G36" s="21" t="s">
        <v>79</v>
      </c>
      <c r="H36" s="21" t="s">
        <v>79</v>
      </c>
      <c r="I36" s="94"/>
      <c r="J36" s="94"/>
      <c r="M36" s="99"/>
      <c r="N36" s="94"/>
      <c r="O36" s="94"/>
      <c r="P36" s="94"/>
      <c r="Q36" s="94"/>
      <c r="R36" s="94"/>
    </row>
    <row r="37" spans="3:18" ht="29.4" thickBot="1" x14ac:dyDescent="0.35">
      <c r="C37" s="4" t="s">
        <v>81</v>
      </c>
      <c r="D37" s="21">
        <v>1016919</v>
      </c>
      <c r="E37" s="21">
        <v>1037208</v>
      </c>
      <c r="F37" s="21">
        <v>1048244</v>
      </c>
      <c r="G37" s="21">
        <v>1182997</v>
      </c>
      <c r="H37" s="21">
        <v>1227420</v>
      </c>
      <c r="I37" s="94" t="s">
        <v>442</v>
      </c>
      <c r="J37" s="94" t="s">
        <v>441</v>
      </c>
      <c r="L37">
        <f>IF(C37=M37,1,0)</f>
        <v>1</v>
      </c>
      <c r="M37" s="99" t="s">
        <v>81</v>
      </c>
      <c r="N37" s="94" t="s">
        <v>441</v>
      </c>
      <c r="O37" s="94" t="s">
        <v>442</v>
      </c>
      <c r="P37" s="94" t="s">
        <v>443</v>
      </c>
      <c r="Q37" s="94" t="s">
        <v>444</v>
      </c>
      <c r="R37" s="94" t="s">
        <v>445</v>
      </c>
    </row>
    <row r="38" spans="3:18" ht="15" thickBot="1" x14ac:dyDescent="0.35">
      <c r="C38" s="4" t="s">
        <v>86</v>
      </c>
      <c r="D38" s="21">
        <v>109713</v>
      </c>
      <c r="E38" s="21">
        <v>111007</v>
      </c>
      <c r="F38" s="21">
        <v>115225</v>
      </c>
      <c r="G38" s="21">
        <v>19924</v>
      </c>
      <c r="H38" s="21">
        <v>18283</v>
      </c>
      <c r="I38" s="94" t="s">
        <v>447</v>
      </c>
      <c r="J38" s="94" t="s">
        <v>446</v>
      </c>
      <c r="L38">
        <f>IF(C38=M38,1,0)</f>
        <v>1</v>
      </c>
      <c r="M38" s="99" t="s">
        <v>86</v>
      </c>
      <c r="N38" s="94" t="s">
        <v>446</v>
      </c>
      <c r="O38" s="94" t="s">
        <v>447</v>
      </c>
      <c r="P38" s="94" t="s">
        <v>448</v>
      </c>
      <c r="Q38" s="94" t="s">
        <v>449</v>
      </c>
      <c r="R38" s="94" t="s">
        <v>450</v>
      </c>
    </row>
    <row r="39" spans="3:18" x14ac:dyDescent="0.3">
      <c r="C39" s="28" t="s">
        <v>75</v>
      </c>
      <c r="D39" s="28"/>
      <c r="E39" s="28"/>
      <c r="L39">
        <f>IF(C39=M39,1,0)</f>
        <v>1</v>
      </c>
      <c r="M39" s="105" t="s">
        <v>366</v>
      </c>
    </row>
    <row r="40" spans="3:18" x14ac:dyDescent="0.3">
      <c r="L40">
        <f>IF(C40=M40,1,0)</f>
        <v>1</v>
      </c>
    </row>
    <row r="41" spans="3:18" x14ac:dyDescent="0.3">
      <c r="L41">
        <f>IF(C41=M41,1,0)</f>
        <v>1</v>
      </c>
    </row>
  </sheetData>
  <hyperlinks>
    <hyperlink ref="C5" r:id="rId1" display="https://municipalities.co.za/services/2/city-of-johannesburg-metropolitan-municipality" xr:uid="{09CB9ED2-A393-4C7A-B9DE-C76FF7C8CADE}"/>
    <hyperlink ref="I5" location="Contents!E9" display="Contents!E9" xr:uid="{CAD44F76-1160-44F9-BAA4-5F7D9B1F72F5}"/>
  </hyperlinks>
  <printOptions headings="1"/>
  <pageMargins left="0.27559055118110237" right="0.27559055118110237" top="0.74803149606299213" bottom="0.35433070866141736" header="0.31496062992125984" footer="0.11811023622047245"/>
  <pageSetup paperSize="9" scale="76" orientation="landscape" r:id="rId2"/>
  <headerFooter>
    <oddFooter>&amp;R&amp;F &amp;A &amp;D P&amp;P/&amp;N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FE50B-C990-4A31-8654-F1DF4055F5B5}">
  <sheetPr>
    <pageSetUpPr fitToPage="1"/>
  </sheetPr>
  <dimension ref="C1:D55"/>
  <sheetViews>
    <sheetView view="pageBreakPreview" topLeftCell="A35" zoomScaleNormal="100" zoomScaleSheetLayoutView="100" workbookViewId="0">
      <selection activeCell="D2" sqref="D2"/>
    </sheetView>
  </sheetViews>
  <sheetFormatPr defaultRowHeight="14.4" x14ac:dyDescent="0.3"/>
  <cols>
    <col min="1" max="2" width="2.77734375" customWidth="1"/>
    <col min="3" max="3" width="46.5546875" customWidth="1"/>
    <col min="4" max="4" width="41" bestFit="1" customWidth="1"/>
  </cols>
  <sheetData>
    <row r="1" spans="3:4" ht="18" x14ac:dyDescent="0.35">
      <c r="C1" s="78" t="s">
        <v>234</v>
      </c>
    </row>
    <row r="2" spans="3:4" ht="18" x14ac:dyDescent="0.35">
      <c r="C2" s="78" t="s">
        <v>243</v>
      </c>
      <c r="D2" s="160" t="s">
        <v>518</v>
      </c>
    </row>
    <row r="3" spans="3:4" ht="18" x14ac:dyDescent="0.35">
      <c r="C3" s="78" t="s">
        <v>565</v>
      </c>
    </row>
    <row r="5" spans="3:4" x14ac:dyDescent="0.3">
      <c r="C5" s="11" t="s">
        <v>109</v>
      </c>
    </row>
    <row r="7" spans="3:4" ht="15.6" x14ac:dyDescent="0.3">
      <c r="C7" s="49" t="s">
        <v>110</v>
      </c>
      <c r="D7" t="s">
        <v>564</v>
      </c>
    </row>
    <row r="8" spans="3:4" x14ac:dyDescent="0.3">
      <c r="C8" s="11" t="s">
        <v>111</v>
      </c>
    </row>
    <row r="9" spans="3:4" x14ac:dyDescent="0.3">
      <c r="C9" s="11" t="s">
        <v>112</v>
      </c>
    </row>
    <row r="10" spans="3:4" x14ac:dyDescent="0.3">
      <c r="C10" s="11" t="s">
        <v>113</v>
      </c>
    </row>
    <row r="11" spans="3:4" x14ac:dyDescent="0.3">
      <c r="C11" s="11" t="s">
        <v>114</v>
      </c>
    </row>
    <row r="12" spans="3:4" x14ac:dyDescent="0.3">
      <c r="C12" s="11" t="s">
        <v>115</v>
      </c>
    </row>
    <row r="13" spans="3:4" x14ac:dyDescent="0.3">
      <c r="C13" s="11" t="s">
        <v>116</v>
      </c>
    </row>
    <row r="14" spans="3:4" x14ac:dyDescent="0.3">
      <c r="C14" s="11" t="s">
        <v>117</v>
      </c>
    </row>
    <row r="15" spans="3:4" x14ac:dyDescent="0.3">
      <c r="C15" s="11" t="s">
        <v>118</v>
      </c>
    </row>
    <row r="16" spans="3:4" x14ac:dyDescent="0.3">
      <c r="C16" s="11" t="s">
        <v>119</v>
      </c>
    </row>
    <row r="17" spans="3:4" x14ac:dyDescent="0.3">
      <c r="C17" s="11" t="s">
        <v>120</v>
      </c>
    </row>
    <row r="18" spans="3:4" ht="15.6" x14ac:dyDescent="0.3">
      <c r="C18" s="49" t="s">
        <v>121</v>
      </c>
      <c r="D18" t="s">
        <v>564</v>
      </c>
    </row>
    <row r="19" spans="3:4" x14ac:dyDescent="0.3">
      <c r="C19" s="11" t="s">
        <v>122</v>
      </c>
    </row>
    <row r="20" spans="3:4" x14ac:dyDescent="0.3">
      <c r="C20" s="11" t="s">
        <v>123</v>
      </c>
    </row>
    <row r="21" spans="3:4" x14ac:dyDescent="0.3">
      <c r="C21" s="11" t="s">
        <v>124</v>
      </c>
    </row>
    <row r="22" spans="3:4" x14ac:dyDescent="0.3">
      <c r="C22" s="11" t="s">
        <v>125</v>
      </c>
    </row>
    <row r="23" spans="3:4" x14ac:dyDescent="0.3">
      <c r="C23" s="11" t="s">
        <v>126</v>
      </c>
    </row>
    <row r="24" spans="3:4" x14ac:dyDescent="0.3">
      <c r="C24" s="11" t="s">
        <v>127</v>
      </c>
    </row>
    <row r="25" spans="3:4" x14ac:dyDescent="0.3">
      <c r="C25" s="11" t="s">
        <v>128</v>
      </c>
    </row>
    <row r="26" spans="3:4" x14ac:dyDescent="0.3">
      <c r="C26" s="11" t="s">
        <v>129</v>
      </c>
    </row>
    <row r="27" spans="3:4" x14ac:dyDescent="0.3">
      <c r="C27" s="11" t="s">
        <v>130</v>
      </c>
    </row>
    <row r="28" spans="3:4" x14ac:dyDescent="0.3">
      <c r="C28" s="11" t="s">
        <v>131</v>
      </c>
    </row>
    <row r="29" spans="3:4" x14ac:dyDescent="0.3">
      <c r="C29" s="11" t="s">
        <v>132</v>
      </c>
    </row>
    <row r="30" spans="3:4" x14ac:dyDescent="0.3">
      <c r="C30" s="11" t="s">
        <v>133</v>
      </c>
    </row>
    <row r="31" spans="3:4" ht="15.6" x14ac:dyDescent="0.3">
      <c r="C31" s="49" t="s">
        <v>134</v>
      </c>
    </row>
    <row r="32" spans="3:4" x14ac:dyDescent="0.3">
      <c r="C32" s="11" t="s">
        <v>135</v>
      </c>
    </row>
    <row r="33" spans="3:3" x14ac:dyDescent="0.3">
      <c r="C33" s="11" t="s">
        <v>136</v>
      </c>
    </row>
    <row r="34" spans="3:3" x14ac:dyDescent="0.3">
      <c r="C34" s="11" t="s">
        <v>137</v>
      </c>
    </row>
    <row r="35" spans="3:3" x14ac:dyDescent="0.3">
      <c r="C35" s="11" t="s">
        <v>138</v>
      </c>
    </row>
    <row r="36" spans="3:3" x14ac:dyDescent="0.3">
      <c r="C36" s="11" t="s">
        <v>139</v>
      </c>
    </row>
    <row r="37" spans="3:3" x14ac:dyDescent="0.3">
      <c r="C37" s="11" t="s">
        <v>140</v>
      </c>
    </row>
    <row r="38" spans="3:3" x14ac:dyDescent="0.3">
      <c r="C38" s="11" t="s">
        <v>141</v>
      </c>
    </row>
    <row r="39" spans="3:3" x14ac:dyDescent="0.3">
      <c r="C39" s="11" t="s">
        <v>142</v>
      </c>
    </row>
    <row r="40" spans="3:3" x14ac:dyDescent="0.3">
      <c r="C40" s="11" t="s">
        <v>143</v>
      </c>
    </row>
    <row r="41" spans="3:3" ht="15.6" x14ac:dyDescent="0.3">
      <c r="C41" s="49" t="s">
        <v>144</v>
      </c>
    </row>
    <row r="42" spans="3:3" x14ac:dyDescent="0.3">
      <c r="C42" s="11" t="s">
        <v>145</v>
      </c>
    </row>
    <row r="43" spans="3:3" x14ac:dyDescent="0.3">
      <c r="C43" s="11" t="s">
        <v>146</v>
      </c>
    </row>
    <row r="44" spans="3:3" x14ac:dyDescent="0.3">
      <c r="C44" s="11" t="s">
        <v>147</v>
      </c>
    </row>
    <row r="45" spans="3:3" x14ac:dyDescent="0.3">
      <c r="C45" s="11" t="s">
        <v>148</v>
      </c>
    </row>
    <row r="46" spans="3:3" x14ac:dyDescent="0.3">
      <c r="C46" s="11" t="s">
        <v>149</v>
      </c>
    </row>
    <row r="47" spans="3:3" x14ac:dyDescent="0.3">
      <c r="C47" s="11" t="s">
        <v>150</v>
      </c>
    </row>
    <row r="48" spans="3:3" x14ac:dyDescent="0.3">
      <c r="C48" s="11" t="s">
        <v>151</v>
      </c>
    </row>
    <row r="49" spans="3:3" x14ac:dyDescent="0.3">
      <c r="C49" s="11" t="s">
        <v>152</v>
      </c>
    </row>
    <row r="50" spans="3:3" x14ac:dyDescent="0.3">
      <c r="C50" s="11" t="s">
        <v>153</v>
      </c>
    </row>
    <row r="51" spans="3:3" x14ac:dyDescent="0.3">
      <c r="C51" s="11" t="s">
        <v>154</v>
      </c>
    </row>
    <row r="52" spans="3:3" x14ac:dyDescent="0.3">
      <c r="C52" s="11" t="s">
        <v>155</v>
      </c>
    </row>
    <row r="53" spans="3:3" x14ac:dyDescent="0.3">
      <c r="C53" s="11" t="s">
        <v>156</v>
      </c>
    </row>
    <row r="54" spans="3:3" x14ac:dyDescent="0.3">
      <c r="C54" s="28"/>
    </row>
    <row r="55" spans="3:3" x14ac:dyDescent="0.3">
      <c r="C55" s="28" t="s">
        <v>75</v>
      </c>
    </row>
  </sheetData>
  <hyperlinks>
    <hyperlink ref="C5" r:id="rId1" display="https://municipalities.co.za/resources/2/city-of-johannesburg-metropolitan-municipality" xr:uid="{4A6F5A47-73A6-4A54-989C-E0401DF9F8EB}"/>
    <hyperlink ref="C8" r:id="rId2" display="https://lg.treasury.gov.za/supportingdocs/JHB/JHB_Annual Report Final_2022_Y_20230302T095805Z_ntuthuzeloa.pdf" xr:uid="{441A3904-584C-4BC5-96ED-3AAF985ABB44}"/>
    <hyperlink ref="C9" r:id="rId3" display="https://lg.treasury.gov.za/supportingdocs/JHB/JHB_Annual Report Final_2021_Y_20220519T101354Z_ntuthuzeloa.pdf" xr:uid="{2E60199E-B0FF-47F0-A985-2146DF80EB54}"/>
    <hyperlink ref="C10" r:id="rId4" display="http://mfma.treasury.gov.za/Documents/06. Annual Reports/2019-20/01. Metros/JHB City of Johannesburg/City of Johannesburg Annual Report 2019-20.pdf" xr:uid="{BA99430C-B987-42BE-9DEA-1340B8E49176}"/>
    <hyperlink ref="C11" r:id="rId5" display="http://mfma.treasury.gov.za/Documents/06. Annual Reports/2018-19/01. Metros/JHB City of Johannesburg/JHB City of Johannesburg Annual report 2018-19.pdf" xr:uid="{786F18D8-77A9-4232-B8EE-1675153ED36B}"/>
    <hyperlink ref="C12" r:id="rId6" display="http://mfma.treasury.gov.za/Documents/06. Annual Reports/2017-18/01. Metros/JHB City of Johannesburg/JHB City of Johannesburg Annual report 2017-18.pdf" xr:uid="{E0CB6552-4182-4B91-88C3-EB67B7CF031D}"/>
    <hyperlink ref="C13" r:id="rId7" display="http://mfma.treasury.gov.za/Documents/06. Annual Reports/2016-17/01. Metros/JHB City of Johannesburg/JHB City of Johannesburg Annual report 2016-17.pdf" xr:uid="{7A4C438E-DEAF-492A-A75D-860BE0211044}"/>
    <hyperlink ref="C14" r:id="rId8" display="http://mfma.treasury.gov.za/Documents/06. Annual Reports/2014-15/01. Metros/JHB City of Johannesburg/JHB City of Johannesburg Annual report 2014-15.pdf" xr:uid="{B01A84F3-B5F4-4ACF-B974-3BAAEA17ED89}"/>
    <hyperlink ref="C15" r:id="rId9" display="http://mfma.treasury.gov.za/Documents/06. Annual Reports/2013-14/01. Metros/JHB City of Johannesburg/JHB City of Johannesburg Annual report 2013-14.pdf" xr:uid="{8DF20F6D-752E-4E39-8BE9-83BA6F508367}"/>
    <hyperlink ref="C16" r:id="rId10" display="http://mfma.treasury.gov.za/Documents/06. Annual Reports/2012-13/01. Metros/JHB City of Johannesburg/JHB City of Johannesburg Annual report 2012-13.pdf" xr:uid="{00DCF77D-8442-410F-A231-2743EB2509F4}"/>
    <hyperlink ref="C17" r:id="rId11" display="http://mfma.treasury.gov.za/Documents/06. Annual Reports/2011-12/01. Metros/JHB City of Johannesburg/JHB City of Johannesburg Annual report 2011-12.pdf" xr:uid="{DA5BAFDE-3C67-4C4D-AC6D-B8157DFDA716}"/>
    <hyperlink ref="C19" r:id="rId12" display="https://lg.treasury.gov.za/supportingdocs/JHB/JHB_Financial Statement Audited_2022_Y_20230113T143840Z_nselelon.pdf" xr:uid="{20F662F1-CE74-472D-A53F-A5517A276359}"/>
    <hyperlink ref="C20" r:id="rId13" display="https://lg.treasury.gov.za/supportingdocs/JHB/JHB_Financial Statement Audited_2021_Y_20220218T112916Z_5405.pdf" xr:uid="{0213CE2A-F38F-4592-BBD9-2B0A7A8534F3}"/>
    <hyperlink ref="C21" r:id="rId14" display="http://mfma.treasury.gov.za/Documents/05. Annual Financial Statements/2019-20/Audited/01. Metros/JHB City of Johannesburg/JHB City of Johannesburg Consolidated AFS 2019-20 audited.pdf" xr:uid="{53E95C88-4AF1-4185-9C15-4C8C98BE5B42}"/>
    <hyperlink ref="C22" r:id="rId15" display="http://mfma.treasury.gov.za/Documents/05. Annual Financial Statements/2018-19/Audited/01. Metros/JHB City of Johannesburg/JHB City of Johannesburg Consolidated AFS 2018-19 audited.pdf" xr:uid="{8517A3D9-75FC-40DB-8F61-2DCB80CFDCFC}"/>
    <hyperlink ref="C23" r:id="rId16" display="http://mfma.treasury.gov.za/Documents/05. Annual Financial Statements/2017-18/Audited/01. Metros/JHB City of Johannesburg/JHB Joburg Market AFS 2017-18 audited.pdf" xr:uid="{562B963B-3C86-42DC-8095-99E990BAAA13}"/>
    <hyperlink ref="C24" r:id="rId17" display="http://mfma.treasury.gov.za/Documents/05. Annual Financial Statements/2016-17/Audited/01. Metros/JHB City of Johannesburg/JHB City of Johannesburg Consolidated AFS 2016-17 audited.pdf" xr:uid="{DA70F221-4F9D-4B2C-BCDC-C022D918D43C}"/>
    <hyperlink ref="C25" r:id="rId18" display="http://mfma.treasury.gov.za/Documents/05. Annual Financial Statements/2015-16/Audited/01. Metros/JHB City of Johannesburg/JHB City of Johannesburg Consolidated AFS 2015-16 audited.pdf" xr:uid="{F8695524-C501-44E9-B7C9-298B3FDE3668}"/>
    <hyperlink ref="C26" r:id="rId19" display="http://mfma.treasury.gov.za/Documents/05. Annual Financial Statements/2014-15/Audited/00. Metros/JHB City of Johannesburg/JHB Consolidated AFS 2014-15 audited.pdf" xr:uid="{03672B7B-292F-4644-9D18-6D534DAD74CA}"/>
    <hyperlink ref="C27" r:id="rId20" display="http://mfma.treasury.gov.za/Documents/05. Annual Financial Statements/2013-14/Audited/01. Metros/JHB City Of Johannesburg/JHB City Of Johannesburg Audited Annual Financial Statements 2013-14.pdf" xr:uid="{E16C171A-3D95-4D97-A7F6-04AEAEC89E38}"/>
    <hyperlink ref="C28" r:id="rId21" display="http://mfma.treasury.gov.za/Documents/05. Annual Financial Statements/2012-13/Audited/01. Metros/JHB City of Johannesburg/JHB City of Johannesburg Consolidated AFS 2012-13 audited.pdf" xr:uid="{1F96A6A5-1DCB-49B5-A096-B29DFE77DE83}"/>
    <hyperlink ref="C29" r:id="rId22" display="http://mfma.treasury.gov.za/Documents/05. Annual Financial Statements/2011-12/01. Metros/JHB City of Johannesburg/JHB City of Johannesburg Consolidated AFS 2011-12 audited.pdf" xr:uid="{AD1F8EAB-47D0-4F70-AA5C-9D6102EA941B}"/>
    <hyperlink ref="C30" r:id="rId23" display="http://mfma.treasury.gov.za/Documents/05. Annual Financial Statements/2010-11/01. Metros/JHB Johannesburg/JHB City of Johannesburg Consolidated AFS 2010-11 Audited.pdf" xr:uid="{A046DCBE-67EA-456D-8E7B-566D81A060B5}"/>
    <hyperlink ref="C32" r:id="rId24" display="http://mfma.treasury.gov.za/Documents/01. Integrated Development Plans/2019-20/01. Metros/JHB City of Johannesburg/JHB City of Johannesburg IDP 2019-20.pdf" xr:uid="{7108591E-EA59-4F22-8917-C133B11B1CB2}"/>
    <hyperlink ref="C33" r:id="rId25" display="http://mfma.treasury.gov.za/Documents/01. Integrated Development Plans/2018-19/01. Metros/JHB City of Johannesburg/JHB City of Johannesburg Capital projects 2018-19.pdf" xr:uid="{1483E6F1-193A-44E4-AECC-C8AF9269FF86}"/>
    <hyperlink ref="C34" r:id="rId26" display="http://mfma.treasury.gov.za/Documents/01. Integrated Development Plans/2017-18/02. Final/01. Metros/JHB City of Johannesburg/JHB City of Johannesburg Final IDP 2017-18.pdf" xr:uid="{D79CC9F6-5B0C-4625-9ABB-E812D7145CB8}"/>
    <hyperlink ref="C35" r:id="rId27" display="http://mfma.treasury.gov.za/Documents/01. Integrated Development Plans/2016-17/01. Metro/JHB City of Johannesburg/JHB City of Johannesburg Draft IDP 2016-17.pdf" xr:uid="{898BE8E6-517E-43D2-81AE-06820CBAC859}"/>
    <hyperlink ref="C36" r:id="rId28" display="http://mfma.treasury.gov.za/Documents/01. Integrated Development Plans/2015-16/01. Metros/JHB City of Johannesburg/JHB City of Johannesburg Draft IDP 2015 16.pdf" xr:uid="{A9191FC1-7B46-42BA-8490-5D54A40E8C06}"/>
    <hyperlink ref="C37" r:id="rId29" display="http://mfma.treasury.gov.za/Documents/01. Integrated Development Plans/2014-15/01. Metros/JHB City of Johannesburg/JHB City of Johannesburg IDP 2014-15.pdf" xr:uid="{989FE102-CE46-4BB6-820B-D58E525ADF23}"/>
    <hyperlink ref="C38" r:id="rId30" display="http://mfma.treasury.gov.za/Documents/01. Integrated Development Plans/2013-14/01. Metros/JHB City of Johannesburg/Monitoring and Evaluation Framework.pdf" xr:uid="{4C797AE5-7162-4D35-8944-4429E1B9AECC}"/>
    <hyperlink ref="C39" r:id="rId31" display="http://mfma.treasury.gov.za/Documents/01. Integrated Development Plans/2012-13/01. Metros/COJ City of Johannesburg/COJ City of Johannesburg - IDP - 2012-13.pdf" xr:uid="{288299DF-35A2-4176-96FD-AF363F63F354}"/>
    <hyperlink ref="C40" r:id="rId32" display="http://mfma.treasury.gov.za/Documents/01. Integrated Development Plans/2011-12/01. Metros/JHB Johannesburg/JHB - Johannesburg - IDP - 2012.pdf" xr:uid="{EBD151D5-1249-4A46-8442-A5BA204B75DD}"/>
    <hyperlink ref="C42" r:id="rId33" display="http://mfma.treasury.gov.za/Media_Releases/s71/2122/4th_2122/Documents/MBRR/01. Metro municipalities/JHB City of Johannesburg C Schedule - 11 August 2022.xlsx" xr:uid="{AD03A967-567B-48BC-A5B1-4801DDB9B561}"/>
    <hyperlink ref="C43" r:id="rId34" display="http://mfma.treasury.gov.za/Media_Releases/s71/2021/4th_2021/Documents/MBRR/01. Metros/JHB City of Johannesburg - 1 August 2021.xls" xr:uid="{288BEE80-97F2-4664-9F1E-B0E26014AAC0}"/>
    <hyperlink ref="C44" r:id="rId35" display="http://mfma.treasury.gov.za/Media_Releases/s71/1920/4th_1920/Documents/MBRR/01. Metros/JHB City of Johannesburg.xls" xr:uid="{CE73F072-5D0F-4D5D-BC0D-69FF874360A1}"/>
    <hyperlink ref="C45" r:id="rId36" display="http://mfma.treasury.gov.za/Media_Releases/s71/1819/4th_1819/Documents/MBRR/01. Metros/JHB C S71 Q4 - 08 August 2019.xls" xr:uid="{72225007-DA0A-4D1C-B238-FDE6D4F54D1A}"/>
    <hyperlink ref="C46" r:id="rId37" display="http://mfma.treasury.gov.za/Media_Releases/s71/1718/4th_1718/Documents/MBRR/01. Metros/JHB City of Johannesburg - 3 Aug 2018.xls" xr:uid="{9F8CAFEC-3FF0-4DAA-97E8-3731334F03BC}"/>
    <hyperlink ref="C47" r:id="rId38" display="http://mfma.treasury.gov.za/Media_Releases/s71/1617/4th_1617/Documents/MBRR/01. Metros/JHB C1 - 31 July 2017.xls" xr:uid="{BC3C6471-AC28-4561-B130-D14A0AF25A4A}"/>
    <hyperlink ref="C48" r:id="rId39" display="http://mfma.treasury.gov.za/Media_Releases/s71/1516/4th_1516/Documents/MBRR/01. Metros/JHB 4th Q S71 11 August 2016.xls" xr:uid="{28AD9A74-F107-4695-A6C9-CA97BA096E20}"/>
    <hyperlink ref="C49" r:id="rId40" display="http://mfma.treasury.gov.za/Media_Releases/s71/1415/4th_1415/Documents/MBRR/01. Metros/JHB Q4 - 05 August 2015.xls" xr:uid="{C54E98FC-49D2-4813-A225-0D88FD53CF72}"/>
    <hyperlink ref="C50" r:id="rId41" display="http://mfma.treasury.gov.za/Media_Releases/s71/1314/4th_1314/Documents/MBRR/01. Metros/JHB - 06 August 2014.xls" xr:uid="{724283D2-7039-44B2-8BE9-15FF02BEF127}"/>
    <hyperlink ref="C51" r:id="rId42" display="http://mfma.treasury.gov.za/Media_Releases/s71/1213/4th_2013/Documents/MBRR/01. Metros/JHB City of Johannesburg - S71 Q4 - 31 July 2013.xls" xr:uid="{49F18271-FEDF-4C13-9D0D-AD268BEE19CE}"/>
    <hyperlink ref="C52" r:id="rId43" display="http://mfma.treasury.gov.za/Media_Releases/s71/1112/4th_1112/Documents/Schedule C/01. Metros/05. Johannesburg 4th Q S71 - 1 Aug 2012.xls" xr:uid="{CFFB3B60-FB55-4685-814F-A759DFE90087}"/>
    <hyperlink ref="C53" r:id="rId44" display="http://mfma.treasury.gov.za/Media_Releases/s71/1011/4th_1011/Documents/Schedule C/01. Metros/JHB City of Johannesburg - 12 Aug 2011.xls" xr:uid="{317975AE-9A1C-4EBC-98AD-62F47CF035EE}"/>
    <hyperlink ref="D2" location="Contents!E9" display="Contents!E9" xr:uid="{85CE5486-DAF4-48F8-AF14-6D893A116491}"/>
  </hyperlinks>
  <pageMargins left="0.70866141732283472" right="0.70866141732283472" top="0.47244094488188981" bottom="0.27559055118110237" header="0.31496062992125984" footer="0.11811023622047245"/>
  <pageSetup paperSize="9" scale="66" orientation="landscape" r:id="rId45"/>
  <headerFooter>
    <oddFooter>&amp;R&amp;F &amp;A &amp;D P&amp;P/&amp;N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35D50-0BC6-4632-8FAF-A7E1AA3AC64E}">
  <sheetPr>
    <pageSetUpPr fitToPage="1"/>
  </sheetPr>
  <dimension ref="B1:K55"/>
  <sheetViews>
    <sheetView view="pageBreakPreview" zoomScale="80" zoomScaleNormal="100" zoomScaleSheetLayoutView="80" workbookViewId="0">
      <selection activeCell="H3" sqref="H3"/>
    </sheetView>
  </sheetViews>
  <sheetFormatPr defaultRowHeight="14.4" x14ac:dyDescent="0.3"/>
  <cols>
    <col min="1" max="1" width="2.77734375" customWidth="1"/>
    <col min="2" max="2" width="7.44140625" bestFit="1" customWidth="1"/>
    <col min="3" max="3" width="10.21875" bestFit="1" customWidth="1"/>
    <col min="4" max="4" width="47" customWidth="1"/>
    <col min="5" max="7" width="10" customWidth="1"/>
    <col min="8" max="8" width="11.44140625" customWidth="1"/>
    <col min="9" max="9" width="31.5546875" bestFit="1" customWidth="1"/>
    <col min="10" max="10" width="10.77734375" bestFit="1" customWidth="1"/>
  </cols>
  <sheetData>
    <row r="1" spans="2:11" ht="18" x14ac:dyDescent="0.35">
      <c r="B1" s="78" t="s">
        <v>234</v>
      </c>
    </row>
    <row r="2" spans="2:11" ht="18" x14ac:dyDescent="0.35">
      <c r="B2" s="78" t="s">
        <v>230</v>
      </c>
      <c r="H2" s="160" t="s">
        <v>518</v>
      </c>
    </row>
    <row r="3" spans="2:11" ht="18" x14ac:dyDescent="0.35">
      <c r="B3" s="83" t="s">
        <v>231</v>
      </c>
    </row>
    <row r="6" spans="2:11" x14ac:dyDescent="0.3">
      <c r="B6" s="79" t="s">
        <v>222</v>
      </c>
      <c r="C6" s="79" t="s">
        <v>223</v>
      </c>
      <c r="D6" s="75" t="s">
        <v>224</v>
      </c>
      <c r="E6" s="53" t="s">
        <v>2</v>
      </c>
      <c r="F6" s="53" t="s">
        <v>1</v>
      </c>
      <c r="G6" s="53" t="s">
        <v>1</v>
      </c>
      <c r="H6" s="53" t="s">
        <v>1</v>
      </c>
      <c r="I6" s="75" t="s">
        <v>225</v>
      </c>
      <c r="J6" s="12"/>
      <c r="K6" s="12"/>
    </row>
    <row r="7" spans="2:11" x14ac:dyDescent="0.3">
      <c r="B7" s="80"/>
      <c r="C7" s="80"/>
      <c r="D7" s="76"/>
      <c r="E7" s="53" t="s">
        <v>178</v>
      </c>
      <c r="F7" s="53" t="s">
        <v>177</v>
      </c>
      <c r="G7" s="53" t="s">
        <v>178</v>
      </c>
      <c r="H7" s="74" t="s">
        <v>180</v>
      </c>
      <c r="I7" s="77"/>
      <c r="J7" s="12"/>
      <c r="K7" s="12"/>
    </row>
    <row r="8" spans="2:11" x14ac:dyDescent="0.3">
      <c r="B8" s="60"/>
      <c r="C8" s="60"/>
      <c r="E8" s="50" t="s">
        <v>179</v>
      </c>
      <c r="F8" s="50" t="s">
        <v>179</v>
      </c>
      <c r="G8" s="50" t="s">
        <v>179</v>
      </c>
      <c r="H8" s="50" t="s">
        <v>179</v>
      </c>
      <c r="I8" s="63"/>
      <c r="J8" s="12"/>
      <c r="K8" s="12"/>
    </row>
    <row r="9" spans="2:11" x14ac:dyDescent="0.3">
      <c r="B9" s="81">
        <v>71</v>
      </c>
      <c r="C9" s="81">
        <v>3.1</v>
      </c>
      <c r="D9" s="65" t="s">
        <v>175</v>
      </c>
      <c r="E9" s="66">
        <f>SUM(E10:E11)</f>
        <v>932</v>
      </c>
      <c r="F9" s="66">
        <f>SUM(F10:F11)</f>
        <v>1096</v>
      </c>
      <c r="G9" s="66">
        <f>SUM(G10:G11)</f>
        <v>1007</v>
      </c>
      <c r="H9" s="66">
        <f t="shared" ref="H9:H18" si="0">G9-F9</f>
        <v>-89</v>
      </c>
      <c r="I9" s="64"/>
    </row>
    <row r="10" spans="2:11" x14ac:dyDescent="0.3">
      <c r="B10" s="81"/>
      <c r="C10" s="81"/>
      <c r="D10" s="67" t="s">
        <v>176</v>
      </c>
      <c r="E10" s="68">
        <v>234</v>
      </c>
      <c r="F10" s="68">
        <v>351</v>
      </c>
      <c r="G10" s="68">
        <v>247</v>
      </c>
      <c r="H10" s="68">
        <f t="shared" si="0"/>
        <v>-104</v>
      </c>
      <c r="I10" s="64"/>
    </row>
    <row r="11" spans="2:11" x14ac:dyDescent="0.3">
      <c r="B11" s="81"/>
      <c r="C11" s="81"/>
      <c r="D11" s="67" t="s">
        <v>181</v>
      </c>
      <c r="E11" s="68">
        <v>698</v>
      </c>
      <c r="F11" s="68">
        <v>745</v>
      </c>
      <c r="G11" s="68">
        <v>760</v>
      </c>
      <c r="H11" s="68">
        <f t="shared" si="0"/>
        <v>15</v>
      </c>
      <c r="I11" s="64"/>
    </row>
    <row r="12" spans="2:11" x14ac:dyDescent="0.3">
      <c r="B12" s="81">
        <v>91</v>
      </c>
      <c r="C12" s="81">
        <v>3.2</v>
      </c>
      <c r="D12" s="65" t="s">
        <v>182</v>
      </c>
      <c r="E12" s="66"/>
      <c r="F12" s="66">
        <v>205</v>
      </c>
      <c r="G12" s="66">
        <v>197</v>
      </c>
      <c r="H12" s="66">
        <f t="shared" si="0"/>
        <v>-8</v>
      </c>
      <c r="I12" s="64"/>
    </row>
    <row r="13" spans="2:11" x14ac:dyDescent="0.3">
      <c r="B13" s="81">
        <v>107</v>
      </c>
      <c r="C13" s="81">
        <v>3.3</v>
      </c>
      <c r="D13" s="65" t="s">
        <v>183</v>
      </c>
      <c r="E13" s="66"/>
      <c r="F13" s="66">
        <v>980</v>
      </c>
      <c r="G13" s="66">
        <v>993</v>
      </c>
      <c r="H13" s="66">
        <f t="shared" si="0"/>
        <v>13</v>
      </c>
      <c r="I13" s="64"/>
    </row>
    <row r="14" spans="2:11" x14ac:dyDescent="0.3">
      <c r="B14" s="81"/>
      <c r="C14" s="81"/>
      <c r="D14" s="69" t="s">
        <v>228</v>
      </c>
      <c r="E14" s="68"/>
      <c r="F14" s="68">
        <v>219</v>
      </c>
      <c r="G14" s="68">
        <v>178</v>
      </c>
      <c r="H14" s="68">
        <f t="shared" si="0"/>
        <v>-41</v>
      </c>
      <c r="I14" s="64" t="s">
        <v>185</v>
      </c>
    </row>
    <row r="15" spans="2:11" ht="28.8" x14ac:dyDescent="0.3">
      <c r="B15" s="81"/>
      <c r="C15" s="81"/>
      <c r="D15" s="69" t="s">
        <v>212</v>
      </c>
      <c r="E15" s="68"/>
      <c r="F15" s="68">
        <v>27</v>
      </c>
      <c r="G15" s="68">
        <v>12</v>
      </c>
      <c r="H15" s="68">
        <f t="shared" si="0"/>
        <v>-15</v>
      </c>
      <c r="I15" s="64" t="s">
        <v>184</v>
      </c>
    </row>
    <row r="16" spans="2:11" x14ac:dyDescent="0.3">
      <c r="B16" s="81"/>
      <c r="C16" s="81"/>
      <c r="D16" s="69" t="s">
        <v>186</v>
      </c>
      <c r="E16" s="68"/>
      <c r="F16" s="68">
        <v>51</v>
      </c>
      <c r="G16" s="68">
        <v>90</v>
      </c>
      <c r="H16" s="68">
        <f t="shared" si="0"/>
        <v>39</v>
      </c>
      <c r="I16" s="64"/>
    </row>
    <row r="17" spans="2:9" x14ac:dyDescent="0.3">
      <c r="B17" s="81"/>
      <c r="C17" s="81"/>
      <c r="D17" s="69" t="s">
        <v>187</v>
      </c>
      <c r="E17" s="68"/>
      <c r="F17" s="68">
        <v>0</v>
      </c>
      <c r="G17" s="68">
        <v>47</v>
      </c>
      <c r="H17" s="68">
        <f t="shared" si="0"/>
        <v>47</v>
      </c>
      <c r="I17" s="64"/>
    </row>
    <row r="18" spans="2:9" x14ac:dyDescent="0.3">
      <c r="B18" s="81"/>
      <c r="C18" s="81"/>
      <c r="D18" s="69" t="s">
        <v>95</v>
      </c>
      <c r="E18" s="68"/>
      <c r="F18" s="68">
        <f>F13-SUM(F14:F17)</f>
        <v>683</v>
      </c>
      <c r="G18" s="68">
        <f>G13-SUM(G14:G17)</f>
        <v>666</v>
      </c>
      <c r="H18" s="68">
        <f t="shared" si="0"/>
        <v>-17</v>
      </c>
      <c r="I18" s="64"/>
    </row>
    <row r="19" spans="2:9" x14ac:dyDescent="0.3">
      <c r="B19" s="81">
        <v>125</v>
      </c>
      <c r="C19" s="81">
        <v>3.4</v>
      </c>
      <c r="D19" s="65" t="s">
        <v>189</v>
      </c>
      <c r="E19" s="66"/>
      <c r="F19" s="66"/>
      <c r="G19" s="66"/>
      <c r="H19" s="66"/>
      <c r="I19" s="64"/>
    </row>
    <row r="20" spans="2:9" x14ac:dyDescent="0.3">
      <c r="B20" s="81">
        <v>138</v>
      </c>
      <c r="C20" s="81">
        <v>3.5</v>
      </c>
      <c r="D20" s="65" t="s">
        <v>190</v>
      </c>
      <c r="E20" s="66"/>
      <c r="F20" s="66">
        <v>1116</v>
      </c>
      <c r="G20" s="66">
        <v>684</v>
      </c>
      <c r="H20" s="66">
        <f t="shared" ref="H20:H27" si="1">G20-F20</f>
        <v>-432</v>
      </c>
      <c r="I20" s="64"/>
    </row>
    <row r="21" spans="2:9" x14ac:dyDescent="0.3">
      <c r="B21" s="81"/>
      <c r="C21" s="81"/>
      <c r="D21" s="69" t="s">
        <v>213</v>
      </c>
      <c r="E21" s="70"/>
      <c r="F21" s="70">
        <v>374</v>
      </c>
      <c r="G21" s="70">
        <v>144</v>
      </c>
      <c r="H21" s="70">
        <f t="shared" si="1"/>
        <v>-230</v>
      </c>
      <c r="I21" s="64"/>
    </row>
    <row r="22" spans="2:9" x14ac:dyDescent="0.3">
      <c r="B22" s="81"/>
      <c r="C22" s="81"/>
      <c r="D22" s="69" t="s">
        <v>214</v>
      </c>
      <c r="E22" s="70"/>
      <c r="F22" s="70">
        <v>56</v>
      </c>
      <c r="G22" s="70">
        <v>1</v>
      </c>
      <c r="H22" s="70">
        <f t="shared" si="1"/>
        <v>-55</v>
      </c>
      <c r="I22" s="64" t="s">
        <v>226</v>
      </c>
    </row>
    <row r="23" spans="2:9" x14ac:dyDescent="0.3">
      <c r="B23" s="81">
        <v>150</v>
      </c>
      <c r="C23" s="81">
        <v>3.6</v>
      </c>
      <c r="D23" s="65" t="s">
        <v>191</v>
      </c>
      <c r="E23" s="66"/>
      <c r="F23" s="66">
        <v>628</v>
      </c>
      <c r="G23" s="66">
        <v>611</v>
      </c>
      <c r="H23" s="66">
        <f t="shared" si="1"/>
        <v>-17</v>
      </c>
      <c r="I23" s="64"/>
    </row>
    <row r="24" spans="2:9" x14ac:dyDescent="0.3">
      <c r="B24" s="81">
        <v>164</v>
      </c>
      <c r="C24" s="81">
        <v>3.7</v>
      </c>
      <c r="D24" s="65" t="s">
        <v>192</v>
      </c>
      <c r="E24" s="66"/>
      <c r="F24" s="66">
        <v>416</v>
      </c>
      <c r="G24" s="66">
        <v>274</v>
      </c>
      <c r="H24" s="66">
        <f t="shared" si="1"/>
        <v>-142</v>
      </c>
      <c r="I24" s="64"/>
    </row>
    <row r="25" spans="2:9" x14ac:dyDescent="0.3">
      <c r="B25" s="81"/>
      <c r="C25" s="81"/>
      <c r="D25" s="69" t="s">
        <v>215</v>
      </c>
      <c r="E25" s="70"/>
      <c r="F25" s="70">
        <v>49</v>
      </c>
      <c r="G25" s="70">
        <v>27</v>
      </c>
      <c r="H25" s="70">
        <f t="shared" si="1"/>
        <v>-22</v>
      </c>
      <c r="I25" s="64"/>
    </row>
    <row r="26" spans="2:9" x14ac:dyDescent="0.3">
      <c r="B26" s="81"/>
      <c r="C26" s="81"/>
      <c r="D26" s="69" t="s">
        <v>227</v>
      </c>
      <c r="E26" s="70"/>
      <c r="F26" s="70">
        <v>48</v>
      </c>
      <c r="G26" s="70">
        <v>32</v>
      </c>
      <c r="H26" s="70">
        <f t="shared" si="1"/>
        <v>-16</v>
      </c>
      <c r="I26" s="64"/>
    </row>
    <row r="27" spans="2:9" x14ac:dyDescent="0.3">
      <c r="B27" s="81">
        <v>177</v>
      </c>
      <c r="C27" s="81">
        <v>3.8</v>
      </c>
      <c r="D27" s="65" t="s">
        <v>193</v>
      </c>
      <c r="E27" s="66"/>
      <c r="F27" s="66">
        <v>864</v>
      </c>
      <c r="G27" s="66">
        <v>837</v>
      </c>
      <c r="H27" s="66">
        <f t="shared" si="1"/>
        <v>-27</v>
      </c>
      <c r="I27" s="64"/>
    </row>
    <row r="28" spans="2:9" x14ac:dyDescent="0.3">
      <c r="B28" s="81">
        <v>187</v>
      </c>
      <c r="C28" s="81">
        <v>3.9</v>
      </c>
      <c r="D28" s="65" t="s">
        <v>194</v>
      </c>
      <c r="E28" s="66"/>
      <c r="F28" s="66"/>
      <c r="G28" s="66"/>
      <c r="H28" s="66"/>
      <c r="I28" s="64" t="s">
        <v>195</v>
      </c>
    </row>
    <row r="29" spans="2:9" x14ac:dyDescent="0.3">
      <c r="B29" s="81">
        <v>199</v>
      </c>
      <c r="C29" s="82">
        <v>3.1</v>
      </c>
      <c r="D29" s="65" t="s">
        <v>196</v>
      </c>
      <c r="E29" s="66"/>
      <c r="F29" s="66"/>
      <c r="G29" s="66"/>
      <c r="H29" s="66"/>
      <c r="I29" s="64" t="s">
        <v>197</v>
      </c>
    </row>
    <row r="30" spans="2:9" x14ac:dyDescent="0.3">
      <c r="B30" s="81"/>
      <c r="C30" s="81">
        <v>3.11</v>
      </c>
      <c r="D30" s="65" t="s">
        <v>198</v>
      </c>
      <c r="E30" s="66"/>
      <c r="F30" s="66"/>
      <c r="G30" s="66"/>
      <c r="H30" s="66"/>
      <c r="I30" s="64" t="s">
        <v>199</v>
      </c>
    </row>
    <row r="31" spans="2:9" x14ac:dyDescent="0.3">
      <c r="B31" s="81">
        <v>213</v>
      </c>
      <c r="C31" s="81">
        <v>3.12</v>
      </c>
      <c r="D31" s="65" t="s">
        <v>200</v>
      </c>
      <c r="E31" s="66"/>
      <c r="F31" s="66">
        <v>157</v>
      </c>
      <c r="G31" s="66">
        <v>107</v>
      </c>
      <c r="H31" s="66">
        <f>G31-F31</f>
        <v>-50</v>
      </c>
      <c r="I31" s="64"/>
    </row>
    <row r="32" spans="2:9" x14ac:dyDescent="0.3">
      <c r="B32" s="81">
        <v>219</v>
      </c>
      <c r="C32" s="81">
        <v>3.13</v>
      </c>
      <c r="D32" s="65" t="s">
        <v>201</v>
      </c>
      <c r="E32" s="66"/>
      <c r="F32" s="66">
        <v>1300</v>
      </c>
      <c r="G32" s="66">
        <v>1096</v>
      </c>
      <c r="H32" s="66">
        <f>G32-F32</f>
        <v>-204</v>
      </c>
      <c r="I32" s="64" t="s">
        <v>202</v>
      </c>
    </row>
    <row r="33" spans="2:9" x14ac:dyDescent="0.3">
      <c r="B33" s="81"/>
      <c r="C33" s="81">
        <v>3.15</v>
      </c>
      <c r="D33" s="65" t="s">
        <v>203</v>
      </c>
      <c r="E33" s="66"/>
      <c r="F33" s="66"/>
      <c r="G33" s="66"/>
      <c r="H33" s="66"/>
      <c r="I33" s="64" t="s">
        <v>197</v>
      </c>
    </row>
    <row r="34" spans="2:9" x14ac:dyDescent="0.3">
      <c r="B34" s="81">
        <v>242</v>
      </c>
      <c r="C34" s="81">
        <v>3.17</v>
      </c>
      <c r="D34" s="65" t="s">
        <v>204</v>
      </c>
      <c r="E34" s="66"/>
      <c r="F34" s="66">
        <v>65</v>
      </c>
      <c r="G34" s="66">
        <v>49</v>
      </c>
      <c r="H34" s="66">
        <f t="shared" ref="H34:H42" si="2">G34-F34</f>
        <v>-16</v>
      </c>
      <c r="I34" s="64"/>
    </row>
    <row r="35" spans="2:9" x14ac:dyDescent="0.3">
      <c r="B35" s="81"/>
      <c r="C35" s="81"/>
      <c r="D35" s="69" t="s">
        <v>216</v>
      </c>
      <c r="E35" s="70"/>
      <c r="F35" s="70">
        <v>52</v>
      </c>
      <c r="G35" s="70">
        <v>39</v>
      </c>
      <c r="H35" s="70">
        <f t="shared" si="2"/>
        <v>-13</v>
      </c>
      <c r="I35" s="64"/>
    </row>
    <row r="36" spans="2:9" ht="43.2" x14ac:dyDescent="0.3">
      <c r="B36" s="81">
        <v>254</v>
      </c>
      <c r="C36" s="81">
        <v>3.18</v>
      </c>
      <c r="D36" s="65" t="s">
        <v>205</v>
      </c>
      <c r="E36" s="66"/>
      <c r="F36" s="66">
        <v>140</v>
      </c>
      <c r="G36" s="66">
        <v>89</v>
      </c>
      <c r="H36" s="66">
        <f t="shared" si="2"/>
        <v>-51</v>
      </c>
      <c r="I36" s="64" t="s">
        <v>206</v>
      </c>
    </row>
    <row r="37" spans="2:9" x14ac:dyDescent="0.3">
      <c r="B37" s="81">
        <v>272</v>
      </c>
      <c r="C37" s="81">
        <v>3.21</v>
      </c>
      <c r="D37" s="65" t="s">
        <v>207</v>
      </c>
      <c r="E37" s="66"/>
      <c r="F37" s="66">
        <v>98</v>
      </c>
      <c r="G37" s="66">
        <v>44</v>
      </c>
      <c r="H37" s="66">
        <f t="shared" si="2"/>
        <v>-54</v>
      </c>
      <c r="I37" s="64"/>
    </row>
    <row r="38" spans="2:9" x14ac:dyDescent="0.3">
      <c r="B38" s="81">
        <v>300</v>
      </c>
      <c r="C38" s="81">
        <v>3.22</v>
      </c>
      <c r="D38" s="65" t="s">
        <v>208</v>
      </c>
      <c r="E38" s="66"/>
      <c r="F38" s="66">
        <v>22</v>
      </c>
      <c r="G38" s="66">
        <v>3</v>
      </c>
      <c r="H38" s="66">
        <f t="shared" si="2"/>
        <v>-19</v>
      </c>
      <c r="I38" s="64"/>
    </row>
    <row r="39" spans="2:9" x14ac:dyDescent="0.3">
      <c r="B39" s="81"/>
      <c r="C39" s="81"/>
      <c r="D39" s="69" t="s">
        <v>217</v>
      </c>
      <c r="E39" s="70"/>
      <c r="F39" s="70">
        <v>8</v>
      </c>
      <c r="G39" s="70">
        <v>1</v>
      </c>
      <c r="H39" s="70">
        <f t="shared" si="2"/>
        <v>-7</v>
      </c>
      <c r="I39" s="64"/>
    </row>
    <row r="40" spans="2:9" x14ac:dyDescent="0.3">
      <c r="B40" s="81"/>
      <c r="C40" s="81"/>
      <c r="D40" s="69" t="s">
        <v>218</v>
      </c>
      <c r="E40" s="70"/>
      <c r="F40" s="70">
        <v>3</v>
      </c>
      <c r="G40" s="70">
        <v>2</v>
      </c>
      <c r="H40" s="70">
        <f t="shared" si="2"/>
        <v>-1</v>
      </c>
      <c r="I40" s="64"/>
    </row>
    <row r="41" spans="2:9" x14ac:dyDescent="0.3">
      <c r="B41" s="81"/>
      <c r="C41" s="81"/>
      <c r="D41" s="69" t="s">
        <v>219</v>
      </c>
      <c r="E41" s="70"/>
      <c r="F41" s="70">
        <v>5</v>
      </c>
      <c r="G41" s="70">
        <v>0</v>
      </c>
      <c r="H41" s="70">
        <f t="shared" si="2"/>
        <v>-5</v>
      </c>
      <c r="I41" s="64"/>
    </row>
    <row r="42" spans="2:9" x14ac:dyDescent="0.3">
      <c r="B42" s="81"/>
      <c r="C42" s="81"/>
      <c r="D42" s="69" t="s">
        <v>220</v>
      </c>
      <c r="E42" s="70"/>
      <c r="F42" s="70">
        <v>5</v>
      </c>
      <c r="G42" s="70">
        <v>0</v>
      </c>
      <c r="H42" s="70">
        <f t="shared" si="2"/>
        <v>-5</v>
      </c>
      <c r="I42" s="64"/>
    </row>
    <row r="43" spans="2:9" x14ac:dyDescent="0.3">
      <c r="B43" s="81"/>
      <c r="C43" s="81">
        <v>3.23</v>
      </c>
      <c r="D43" s="65" t="s">
        <v>209</v>
      </c>
      <c r="E43" s="66"/>
      <c r="F43" s="66"/>
      <c r="G43" s="66"/>
      <c r="H43" s="66"/>
      <c r="I43" s="64"/>
    </row>
    <row r="44" spans="2:9" x14ac:dyDescent="0.3">
      <c r="B44" s="81"/>
      <c r="C44" s="81">
        <v>3.24</v>
      </c>
      <c r="D44" s="65" t="s">
        <v>210</v>
      </c>
      <c r="E44" s="66"/>
      <c r="F44" s="66">
        <v>0.51300000000000001</v>
      </c>
      <c r="G44" s="71">
        <v>0.5</v>
      </c>
      <c r="H44" s="66">
        <f>G44-F44</f>
        <v>-1.3000000000000012E-2</v>
      </c>
      <c r="I44" s="64"/>
    </row>
    <row r="45" spans="2:9" x14ac:dyDescent="0.3">
      <c r="B45" s="81"/>
      <c r="C45" s="81"/>
      <c r="D45" s="65"/>
      <c r="E45" s="66"/>
      <c r="F45" s="72">
        <f>SUM(F9,F12:F13,F19:F20,F23:F24,F27:F34,F36:F38,F43:F44)</f>
        <v>7087.5129999999999</v>
      </c>
      <c r="G45" s="72">
        <f>SUM(G9,G12:G13,G19:G20,G23:G24,G27:G34,G36:G38,G43:G44)</f>
        <v>5991.5</v>
      </c>
      <c r="H45" s="72">
        <f>SUM(H9,H12:H13,H19:H20,H23:H24,H27:H34,H36:H38,H43:H44)</f>
        <v>-1096.0129999999999</v>
      </c>
      <c r="I45" s="64"/>
    </row>
    <row r="46" spans="2:9" x14ac:dyDescent="0.3">
      <c r="B46" s="60"/>
      <c r="C46" s="60"/>
      <c r="D46" s="65" t="s">
        <v>229</v>
      </c>
      <c r="E46" s="61"/>
      <c r="F46" s="61"/>
      <c r="G46" s="61">
        <f>G47-G45</f>
        <v>629.15400000000045</v>
      </c>
      <c r="H46" s="61"/>
    </row>
    <row r="47" spans="2:9" ht="15" thickBot="1" x14ac:dyDescent="0.35">
      <c r="B47" s="60"/>
      <c r="C47" s="60"/>
      <c r="D47" t="s">
        <v>211</v>
      </c>
      <c r="E47" s="61"/>
      <c r="F47" s="61"/>
      <c r="G47" s="73">
        <f>'AFS Summary &amp; Charts 15yrs'!P40*1000</f>
        <v>6620.6540000000005</v>
      </c>
      <c r="H47" s="61"/>
    </row>
    <row r="48" spans="2:9" ht="15" thickTop="1" x14ac:dyDescent="0.3">
      <c r="B48" s="60"/>
      <c r="C48" s="60"/>
      <c r="E48" s="61"/>
      <c r="F48" s="61"/>
      <c r="G48" s="61"/>
      <c r="H48" s="61"/>
    </row>
    <row r="49" spans="4:10" x14ac:dyDescent="0.3">
      <c r="E49" s="61"/>
      <c r="F49" s="61"/>
      <c r="G49" s="61"/>
      <c r="H49" s="61"/>
    </row>
    <row r="50" spans="4:10" x14ac:dyDescent="0.3">
      <c r="E50" s="61"/>
      <c r="F50" s="61"/>
      <c r="G50" s="61"/>
      <c r="H50" s="61"/>
    </row>
    <row r="51" spans="4:10" x14ac:dyDescent="0.3">
      <c r="E51" s="61"/>
      <c r="F51" s="61"/>
      <c r="G51" s="61"/>
      <c r="H51" s="61"/>
    </row>
    <row r="52" spans="4:10" x14ac:dyDescent="0.3">
      <c r="D52" s="12" t="s">
        <v>221</v>
      </c>
      <c r="E52" s="61"/>
      <c r="F52" s="61"/>
      <c r="G52" s="61"/>
      <c r="H52" s="61"/>
    </row>
    <row r="53" spans="4:10" x14ac:dyDescent="0.3">
      <c r="E53" s="62">
        <v>2018</v>
      </c>
      <c r="F53" s="62">
        <v>2019</v>
      </c>
      <c r="G53" s="62">
        <v>2020</v>
      </c>
      <c r="H53" s="62">
        <v>2021</v>
      </c>
      <c r="I53" s="62">
        <v>2022</v>
      </c>
      <c r="J53" s="50" t="s">
        <v>188</v>
      </c>
    </row>
    <row r="54" spans="4:10" x14ac:dyDescent="0.3">
      <c r="E54" s="61"/>
      <c r="F54" s="61"/>
      <c r="G54" s="61"/>
      <c r="H54" s="61"/>
    </row>
    <row r="55" spans="4:10" x14ac:dyDescent="0.3">
      <c r="D55" t="s">
        <v>183</v>
      </c>
      <c r="E55" s="61">
        <v>1427</v>
      </c>
      <c r="F55" s="61">
        <v>1216</v>
      </c>
      <c r="G55" s="61">
        <v>733</v>
      </c>
      <c r="H55" s="61">
        <v>684</v>
      </c>
      <c r="I55" s="61">
        <v>995</v>
      </c>
      <c r="J55" s="56">
        <f>SUM(E55:I55)</f>
        <v>5055</v>
      </c>
    </row>
  </sheetData>
  <hyperlinks>
    <hyperlink ref="H2" location="Contents!E9" display="Contents!E9" xr:uid="{9781B6D9-44BC-4B9A-AAC8-A6D5670E98B7}"/>
  </hyperlinks>
  <printOptions headings="1"/>
  <pageMargins left="0.27559055118110237" right="0.15748031496062992" top="0.39370078740157483" bottom="0.43307086614173229" header="0.19685039370078741" footer="0.19685039370078741"/>
  <pageSetup paperSize="9" scale="61" orientation="landscape" r:id="rId1"/>
  <headerFooter>
    <oddFooter>&amp;R&amp;F &amp;A &amp;D P&amp;P/&amp;N</oddFooter>
  </headerFooter>
  <colBreaks count="1" manualBreakCount="1">
    <brk id="9"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ABB7E-81C0-4A64-8276-68F88693E169}">
  <dimension ref="B1:I3"/>
  <sheetViews>
    <sheetView view="pageBreakPreview" topLeftCell="E1" zoomScale="60" zoomScaleNormal="100" workbookViewId="0">
      <selection activeCell="Z3" sqref="Z3"/>
    </sheetView>
  </sheetViews>
  <sheetFormatPr defaultRowHeight="14.4" x14ac:dyDescent="0.3"/>
  <cols>
    <col min="2" max="2" width="9.77734375" bestFit="1" customWidth="1"/>
  </cols>
  <sheetData>
    <row r="1" spans="2:9" x14ac:dyDescent="0.3">
      <c r="B1" s="12" t="s">
        <v>234</v>
      </c>
    </row>
    <row r="2" spans="2:9" x14ac:dyDescent="0.3">
      <c r="B2" s="12" t="s">
        <v>236</v>
      </c>
      <c r="I2" s="160" t="s">
        <v>518</v>
      </c>
    </row>
    <row r="3" spans="2:9" x14ac:dyDescent="0.3">
      <c r="B3" s="88">
        <v>45235</v>
      </c>
    </row>
  </sheetData>
  <hyperlinks>
    <hyperlink ref="I2" location="Contents!E9" display="Contents!E9" xr:uid="{435A593A-36A6-4112-9F99-EE68406E7724}"/>
  </hyperlinks>
  <printOptions headings="1"/>
  <pageMargins left="0.27559055118110237" right="0.15748031496062992" top="0.43307086614173229" bottom="0.35433070866141736" header="0.19685039370078741" footer="0.11811023622047245"/>
  <pageSetup paperSize="9" scale="66" fitToWidth="3" orientation="landscape" r:id="rId1"/>
  <headerFooter>
    <oddFooter>&amp;R&amp;F &amp;A &amp;D P&amp;P/&amp;N</oddFooter>
  </headerFooter>
  <colBreaks count="1" manualBreakCount="1">
    <brk id="2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14D15-96BF-4044-955C-987B1270D5F6}">
  <sheetPr>
    <pageSetUpPr fitToPage="1"/>
  </sheetPr>
  <dimension ref="C1:E56"/>
  <sheetViews>
    <sheetView view="pageBreakPreview" zoomScale="60" zoomScaleNormal="100" workbookViewId="0">
      <selection activeCell="C4" sqref="C4"/>
    </sheetView>
  </sheetViews>
  <sheetFormatPr defaultRowHeight="14.4" x14ac:dyDescent="0.3"/>
  <cols>
    <col min="1" max="2" width="4.109375" customWidth="1"/>
    <col min="3" max="3" width="49.5546875" customWidth="1"/>
    <col min="4" max="4" width="10.77734375" customWidth="1"/>
    <col min="5" max="5" width="11.21875" style="56" customWidth="1"/>
  </cols>
  <sheetData>
    <row r="1" spans="3:5" ht="18" x14ac:dyDescent="0.35">
      <c r="C1" s="78" t="s">
        <v>234</v>
      </c>
    </row>
    <row r="2" spans="3:5" ht="18" x14ac:dyDescent="0.35">
      <c r="C2" s="78" t="s">
        <v>568</v>
      </c>
    </row>
    <row r="3" spans="3:5" ht="18" x14ac:dyDescent="0.35">
      <c r="C3" s="83" t="s">
        <v>586</v>
      </c>
      <c r="E3" s="160" t="s">
        <v>518</v>
      </c>
    </row>
    <row r="9" spans="3:5" x14ac:dyDescent="0.3">
      <c r="D9" s="50" t="s">
        <v>232</v>
      </c>
      <c r="E9" s="50" t="s">
        <v>245</v>
      </c>
    </row>
    <row r="10" spans="3:5" x14ac:dyDescent="0.3">
      <c r="C10" s="12" t="s">
        <v>457</v>
      </c>
      <c r="D10" s="140" t="s">
        <v>458</v>
      </c>
      <c r="E10" s="140" t="s">
        <v>458</v>
      </c>
    </row>
    <row r="11" spans="3:5" x14ac:dyDescent="0.3">
      <c r="C11" t="s">
        <v>459</v>
      </c>
      <c r="D11" s="56">
        <f>SUMIF($C$36:$C$51,$C11,$E$36:$E$51)</f>
        <v>53738</v>
      </c>
      <c r="E11" s="56">
        <v>136890</v>
      </c>
    </row>
    <row r="12" spans="3:5" x14ac:dyDescent="0.3">
      <c r="C12" t="s">
        <v>460</v>
      </c>
      <c r="D12" s="56">
        <f t="shared" ref="D12:D31" si="0">SUMIF($C$36:$C$51,$C12,$E$36:$E$51)</f>
        <v>645979</v>
      </c>
      <c r="E12" s="56">
        <v>423698</v>
      </c>
    </row>
    <row r="13" spans="3:5" x14ac:dyDescent="0.3">
      <c r="C13" t="s">
        <v>209</v>
      </c>
      <c r="D13" s="56">
        <f t="shared" si="0"/>
        <v>522566</v>
      </c>
      <c r="E13" s="56">
        <v>525748</v>
      </c>
    </row>
    <row r="14" spans="3:5" x14ac:dyDescent="0.3">
      <c r="C14" t="s">
        <v>461</v>
      </c>
      <c r="D14" s="56">
        <f t="shared" si="0"/>
        <v>16671</v>
      </c>
      <c r="E14" s="56">
        <v>25045</v>
      </c>
    </row>
    <row r="15" spans="3:5" x14ac:dyDescent="0.3">
      <c r="C15" t="s">
        <v>462</v>
      </c>
      <c r="D15" s="56">
        <f t="shared" si="0"/>
        <v>50777</v>
      </c>
      <c r="E15" s="56">
        <v>50814</v>
      </c>
    </row>
    <row r="16" spans="3:5" x14ac:dyDescent="0.3">
      <c r="C16" t="s">
        <v>463</v>
      </c>
      <c r="D16" s="56">
        <f t="shared" si="0"/>
        <v>0</v>
      </c>
      <c r="E16" s="56">
        <v>1453918</v>
      </c>
    </row>
    <row r="17" spans="3:5" x14ac:dyDescent="0.3">
      <c r="C17" t="s">
        <v>210</v>
      </c>
      <c r="D17" s="56">
        <f t="shared" si="0"/>
        <v>0</v>
      </c>
      <c r="E17" s="56">
        <v>109652</v>
      </c>
    </row>
    <row r="18" spans="3:5" x14ac:dyDescent="0.3">
      <c r="C18" t="s">
        <v>464</v>
      </c>
      <c r="D18" s="56">
        <f t="shared" si="0"/>
        <v>253</v>
      </c>
    </row>
    <row r="19" spans="3:5" x14ac:dyDescent="0.3">
      <c r="C19" t="s">
        <v>465</v>
      </c>
      <c r="D19" s="56">
        <f t="shared" si="0"/>
        <v>0</v>
      </c>
      <c r="E19" s="56">
        <v>29266</v>
      </c>
    </row>
    <row r="20" spans="3:5" x14ac:dyDescent="0.3">
      <c r="C20" t="s">
        <v>466</v>
      </c>
      <c r="D20" s="56">
        <f t="shared" si="0"/>
        <v>76865</v>
      </c>
      <c r="E20" s="56">
        <v>150133</v>
      </c>
    </row>
    <row r="21" spans="3:5" x14ac:dyDescent="0.3">
      <c r="C21" t="s">
        <v>467</v>
      </c>
      <c r="D21" s="56">
        <f t="shared" si="0"/>
        <v>0</v>
      </c>
      <c r="E21" s="56">
        <v>600</v>
      </c>
    </row>
    <row r="22" spans="3:5" x14ac:dyDescent="0.3">
      <c r="C22" t="s">
        <v>468</v>
      </c>
      <c r="D22" s="56">
        <f t="shared" si="0"/>
        <v>246485</v>
      </c>
      <c r="E22" s="56">
        <v>56949</v>
      </c>
    </row>
    <row r="23" spans="3:5" x14ac:dyDescent="0.3">
      <c r="C23" t="s">
        <v>201</v>
      </c>
      <c r="D23" s="56">
        <f t="shared" si="0"/>
        <v>55160</v>
      </c>
      <c r="E23" s="56">
        <v>82646</v>
      </c>
    </row>
    <row r="24" spans="3:5" x14ac:dyDescent="0.3">
      <c r="C24" t="s">
        <v>183</v>
      </c>
      <c r="D24" s="56">
        <f t="shared" si="0"/>
        <v>208739</v>
      </c>
      <c r="E24" s="56">
        <v>4128807</v>
      </c>
    </row>
    <row r="25" spans="3:5" x14ac:dyDescent="0.3">
      <c r="C25" t="s">
        <v>469</v>
      </c>
      <c r="D25" s="56">
        <f t="shared" si="0"/>
        <v>1063091</v>
      </c>
      <c r="E25" s="56">
        <v>998516</v>
      </c>
    </row>
    <row r="26" spans="3:5" x14ac:dyDescent="0.3">
      <c r="C26" t="s">
        <v>470</v>
      </c>
      <c r="D26" s="56">
        <f t="shared" si="0"/>
        <v>347678</v>
      </c>
      <c r="E26" s="56">
        <v>181452</v>
      </c>
    </row>
    <row r="27" spans="3:5" x14ac:dyDescent="0.3">
      <c r="C27" t="s">
        <v>182</v>
      </c>
      <c r="D27" s="56">
        <f t="shared" si="0"/>
        <v>475822</v>
      </c>
      <c r="E27" s="56">
        <v>13994</v>
      </c>
    </row>
    <row r="28" spans="3:5" x14ac:dyDescent="0.3">
      <c r="C28" t="s">
        <v>471</v>
      </c>
      <c r="D28" s="56">
        <f t="shared" si="0"/>
        <v>378631</v>
      </c>
      <c r="E28" s="56">
        <v>568053</v>
      </c>
    </row>
    <row r="29" spans="3:5" x14ac:dyDescent="0.3">
      <c r="C29" t="s">
        <v>472</v>
      </c>
      <c r="D29" s="56">
        <f t="shared" si="0"/>
        <v>0</v>
      </c>
      <c r="E29" s="56">
        <v>40236</v>
      </c>
    </row>
    <row r="30" spans="3:5" x14ac:dyDescent="0.3">
      <c r="C30" t="s">
        <v>473</v>
      </c>
      <c r="D30" s="56">
        <f t="shared" si="0"/>
        <v>43858</v>
      </c>
      <c r="E30" s="56">
        <v>0</v>
      </c>
    </row>
    <row r="31" spans="3:5" x14ac:dyDescent="0.3">
      <c r="C31" t="s">
        <v>474</v>
      </c>
      <c r="D31" s="178">
        <f t="shared" si="0"/>
        <v>4186313</v>
      </c>
      <c r="E31" s="178">
        <v>8976417</v>
      </c>
    </row>
    <row r="32" spans="3:5" x14ac:dyDescent="0.3">
      <c r="C32" t="s">
        <v>525</v>
      </c>
      <c r="D32" s="179">
        <f>'[1]Unauthorised Expenditure by Typ'!D48</f>
        <v>0</v>
      </c>
      <c r="E32" s="179">
        <f>'[1]Unauthorised Expenditure by Typ'!E48</f>
        <v>0</v>
      </c>
    </row>
    <row r="33" spans="3:5" ht="15" thickBot="1" x14ac:dyDescent="0.35">
      <c r="C33" t="s">
        <v>526</v>
      </c>
      <c r="D33" s="141">
        <f>SUM(D31:D32)</f>
        <v>4186313</v>
      </c>
      <c r="E33" s="141">
        <f>SUM(E31:E32)</f>
        <v>8976417</v>
      </c>
    </row>
    <row r="34" spans="3:5" ht="15" thickTop="1" x14ac:dyDescent="0.3">
      <c r="D34" s="56"/>
    </row>
    <row r="35" spans="3:5" x14ac:dyDescent="0.3">
      <c r="C35" t="s">
        <v>457</v>
      </c>
      <c r="D35" s="140"/>
      <c r="E35" s="140" t="s">
        <v>458</v>
      </c>
    </row>
    <row r="36" spans="3:5" x14ac:dyDescent="0.3">
      <c r="C36" t="s">
        <v>459</v>
      </c>
      <c r="D36" s="56"/>
      <c r="E36" s="56">
        <v>53738</v>
      </c>
    </row>
    <row r="37" spans="3:5" x14ac:dyDescent="0.3">
      <c r="C37" t="s">
        <v>460</v>
      </c>
      <c r="D37" s="56"/>
      <c r="E37" s="56">
        <v>645979</v>
      </c>
    </row>
    <row r="38" spans="3:5" x14ac:dyDescent="0.3">
      <c r="C38" t="s">
        <v>462</v>
      </c>
      <c r="D38" s="56"/>
      <c r="E38" s="56">
        <v>50777</v>
      </c>
    </row>
    <row r="39" spans="3:5" x14ac:dyDescent="0.3">
      <c r="C39" t="s">
        <v>461</v>
      </c>
      <c r="D39" s="56"/>
      <c r="E39" s="56">
        <v>16671</v>
      </c>
    </row>
    <row r="40" spans="3:5" x14ac:dyDescent="0.3">
      <c r="C40" t="s">
        <v>464</v>
      </c>
      <c r="D40" s="56"/>
      <c r="E40" s="56">
        <v>253</v>
      </c>
    </row>
    <row r="41" spans="3:5" x14ac:dyDescent="0.3">
      <c r="C41" t="s">
        <v>209</v>
      </c>
      <c r="D41" s="56"/>
      <c r="E41" s="56">
        <v>522566</v>
      </c>
    </row>
    <row r="42" spans="3:5" x14ac:dyDescent="0.3">
      <c r="C42" t="s">
        <v>466</v>
      </c>
      <c r="D42" s="56"/>
      <c r="E42" s="56">
        <v>76865</v>
      </c>
    </row>
    <row r="43" spans="3:5" x14ac:dyDescent="0.3">
      <c r="C43" t="s">
        <v>468</v>
      </c>
      <c r="D43" s="56"/>
      <c r="E43" s="56">
        <v>246485</v>
      </c>
    </row>
    <row r="44" spans="3:5" x14ac:dyDescent="0.3">
      <c r="C44" t="s">
        <v>201</v>
      </c>
      <c r="D44" s="56"/>
      <c r="E44" s="56">
        <v>55160</v>
      </c>
    </row>
    <row r="45" spans="3:5" x14ac:dyDescent="0.3">
      <c r="C45" t="s">
        <v>183</v>
      </c>
      <c r="D45" s="56"/>
      <c r="E45" s="56">
        <v>208739</v>
      </c>
    </row>
    <row r="46" spans="3:5" x14ac:dyDescent="0.3">
      <c r="C46" t="s">
        <v>469</v>
      </c>
      <c r="D46" s="56"/>
      <c r="E46" s="56">
        <v>1063091</v>
      </c>
    </row>
    <row r="47" spans="3:5" x14ac:dyDescent="0.3">
      <c r="C47" t="s">
        <v>470</v>
      </c>
      <c r="D47" s="56"/>
      <c r="E47" s="56">
        <v>347678</v>
      </c>
    </row>
    <row r="48" spans="3:5" x14ac:dyDescent="0.3">
      <c r="C48" t="s">
        <v>182</v>
      </c>
      <c r="D48" s="56"/>
      <c r="E48" s="56">
        <v>475822</v>
      </c>
    </row>
    <row r="49" spans="3:5" x14ac:dyDescent="0.3">
      <c r="C49" t="s">
        <v>471</v>
      </c>
      <c r="D49" s="56"/>
      <c r="E49" s="56">
        <v>378631</v>
      </c>
    </row>
    <row r="50" spans="3:5" x14ac:dyDescent="0.3">
      <c r="C50" t="s">
        <v>473</v>
      </c>
      <c r="D50" s="56"/>
      <c r="E50" s="56">
        <v>43858</v>
      </c>
    </row>
    <row r="51" spans="3:5" x14ac:dyDescent="0.3">
      <c r="C51" t="s">
        <v>474</v>
      </c>
      <c r="D51" s="56"/>
      <c r="E51" s="56">
        <v>4186313</v>
      </c>
    </row>
    <row r="52" spans="3:5" x14ac:dyDescent="0.3">
      <c r="D52" s="56"/>
    </row>
    <row r="53" spans="3:5" x14ac:dyDescent="0.3">
      <c r="D53" s="56"/>
    </row>
    <row r="54" spans="3:5" x14ac:dyDescent="0.3">
      <c r="D54" s="56"/>
    </row>
    <row r="55" spans="3:5" x14ac:dyDescent="0.3">
      <c r="D55" s="56"/>
    </row>
    <row r="56" spans="3:5" x14ac:dyDescent="0.3">
      <c r="D56" s="56"/>
    </row>
  </sheetData>
  <conditionalFormatting sqref="D11:D30">
    <cfRule type="top10" dxfId="5" priority="2" rank="3"/>
  </conditionalFormatting>
  <conditionalFormatting sqref="E11:E30">
    <cfRule type="top10" dxfId="4" priority="1" rank="3"/>
  </conditionalFormatting>
  <hyperlinks>
    <hyperlink ref="E3" location="Contents!E9" display="Contents!E9" xr:uid="{8312815E-1275-4CE4-9757-230EFAC98D80}"/>
  </hyperlinks>
  <printOptions headings="1"/>
  <pageMargins left="0.31496062992125984" right="0.31496062992125984" top="0.35433070866141736" bottom="0.39370078740157483" header="0.19685039370078741" footer="0.15748031496062992"/>
  <pageSetup paperSize="9" scale="70" orientation="landscape" r:id="rId1"/>
  <headerFooter>
    <oddFooter>&amp;R&amp;F &amp;A &amp;D P&amp;P/&amp;N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B08D3-BAC7-423B-A670-D9255C563D19}">
  <sheetPr>
    <pageSetUpPr fitToPage="1"/>
  </sheetPr>
  <dimension ref="C1:E54"/>
  <sheetViews>
    <sheetView workbookViewId="0">
      <selection activeCell="C4" sqref="C4"/>
    </sheetView>
  </sheetViews>
  <sheetFormatPr defaultRowHeight="14.4" x14ac:dyDescent="0.3"/>
  <cols>
    <col min="3" max="3" width="56.44140625" customWidth="1"/>
    <col min="4" max="4" width="12.5546875" customWidth="1"/>
    <col min="5" max="5" width="13.21875" customWidth="1"/>
  </cols>
  <sheetData>
    <row r="1" spans="3:5" ht="18" x14ac:dyDescent="0.35">
      <c r="C1" s="78" t="s">
        <v>234</v>
      </c>
    </row>
    <row r="2" spans="3:5" ht="18" x14ac:dyDescent="0.35">
      <c r="C2" s="78" t="s">
        <v>569</v>
      </c>
    </row>
    <row r="3" spans="3:5" ht="18" x14ac:dyDescent="0.35">
      <c r="C3" s="83" t="s">
        <v>586</v>
      </c>
      <c r="E3" s="160" t="s">
        <v>518</v>
      </c>
    </row>
    <row r="4" spans="3:5" ht="12.45" customHeight="1" x14ac:dyDescent="0.35">
      <c r="C4" s="78"/>
    </row>
    <row r="5" spans="3:5" ht="12.45" customHeight="1" x14ac:dyDescent="0.35">
      <c r="C5" s="78"/>
    </row>
    <row r="6" spans="3:5" ht="12.45" customHeight="1" x14ac:dyDescent="0.35">
      <c r="C6" s="78"/>
    </row>
    <row r="7" spans="3:5" x14ac:dyDescent="0.3">
      <c r="C7" t="s">
        <v>22</v>
      </c>
      <c r="D7" s="142">
        <f>SUM(D12:D13)</f>
        <v>4186313</v>
      </c>
      <c r="E7" s="142">
        <f>SUM(E12:E13)</f>
        <v>8976419</v>
      </c>
    </row>
    <row r="9" spans="3:5" x14ac:dyDescent="0.3">
      <c r="D9" s="50" t="s">
        <v>232</v>
      </c>
      <c r="E9" s="50" t="s">
        <v>245</v>
      </c>
    </row>
    <row r="10" spans="3:5" x14ac:dyDescent="0.3">
      <c r="C10" s="143" t="s">
        <v>475</v>
      </c>
      <c r="D10" s="229" t="s">
        <v>476</v>
      </c>
      <c r="E10" s="230" t="s">
        <v>476</v>
      </c>
    </row>
    <row r="11" spans="3:5" ht="24" x14ac:dyDescent="0.3">
      <c r="C11" s="143" t="s">
        <v>477</v>
      </c>
      <c r="D11" s="229"/>
      <c r="E11" s="230"/>
    </row>
    <row r="12" spans="3:5" x14ac:dyDescent="0.3">
      <c r="C12" s="145" t="s">
        <v>478</v>
      </c>
      <c r="D12" s="146">
        <v>1451352</v>
      </c>
      <c r="E12" s="147">
        <v>1851305</v>
      </c>
    </row>
    <row r="13" spans="3:5" ht="15" thickBot="1" x14ac:dyDescent="0.35">
      <c r="C13" s="148" t="s">
        <v>479</v>
      </c>
      <c r="D13" s="149">
        <v>2734961</v>
      </c>
      <c r="E13" s="150">
        <v>7125114</v>
      </c>
    </row>
    <row r="14" spans="3:5" ht="15" thickTop="1" x14ac:dyDescent="0.3">
      <c r="C14" s="151"/>
      <c r="D14" s="151"/>
      <c r="E14" s="151"/>
    </row>
    <row r="15" spans="3:5" x14ac:dyDescent="0.3">
      <c r="C15" s="143" t="s">
        <v>480</v>
      </c>
      <c r="D15" s="144" t="s">
        <v>476</v>
      </c>
      <c r="E15" s="144" t="s">
        <v>476</v>
      </c>
    </row>
    <row r="16" spans="3:5" x14ac:dyDescent="0.3">
      <c r="C16" s="145" t="s">
        <v>481</v>
      </c>
      <c r="D16" s="144" t="s">
        <v>28</v>
      </c>
      <c r="E16" s="147">
        <v>62212</v>
      </c>
    </row>
    <row r="17" spans="3:5" x14ac:dyDescent="0.3">
      <c r="C17" s="145" t="s">
        <v>270</v>
      </c>
      <c r="D17" s="147">
        <v>-83488</v>
      </c>
      <c r="E17" s="147">
        <v>-40999</v>
      </c>
    </row>
    <row r="18" spans="3:5" x14ac:dyDescent="0.3">
      <c r="C18" s="145" t="s">
        <v>482</v>
      </c>
      <c r="D18" s="147">
        <v>-12276</v>
      </c>
      <c r="E18" s="144" t="s">
        <v>28</v>
      </c>
    </row>
    <row r="19" spans="3:5" x14ac:dyDescent="0.3">
      <c r="C19" s="145" t="s">
        <v>483</v>
      </c>
      <c r="D19" s="147">
        <v>1413649</v>
      </c>
      <c r="E19" s="147">
        <v>240015</v>
      </c>
    </row>
    <row r="20" spans="3:5" x14ac:dyDescent="0.3">
      <c r="C20" s="145" t="s">
        <v>484</v>
      </c>
      <c r="D20" s="147">
        <v>9565</v>
      </c>
      <c r="E20" s="144" t="s">
        <v>28</v>
      </c>
    </row>
    <row r="21" spans="3:5" x14ac:dyDescent="0.3">
      <c r="C21" s="145" t="s">
        <v>485</v>
      </c>
      <c r="D21" s="147">
        <v>10295</v>
      </c>
      <c r="E21" s="147">
        <v>35439</v>
      </c>
    </row>
    <row r="22" spans="3:5" x14ac:dyDescent="0.3">
      <c r="C22" s="145" t="s">
        <v>486</v>
      </c>
      <c r="D22" s="147">
        <v>-356755</v>
      </c>
      <c r="E22" s="144">
        <v>-17</v>
      </c>
    </row>
    <row r="23" spans="3:5" x14ac:dyDescent="0.3">
      <c r="C23" s="145" t="s">
        <v>487</v>
      </c>
      <c r="D23" s="147">
        <v>38694</v>
      </c>
      <c r="E23" s="147">
        <v>90868</v>
      </c>
    </row>
    <row r="24" spans="3:5" x14ac:dyDescent="0.3">
      <c r="C24" s="145" t="s">
        <v>488</v>
      </c>
      <c r="D24" s="147">
        <v>137168</v>
      </c>
      <c r="E24" s="147">
        <v>177679</v>
      </c>
    </row>
    <row r="25" spans="3:5" x14ac:dyDescent="0.3">
      <c r="C25" s="145" t="s">
        <v>489</v>
      </c>
      <c r="D25" s="147">
        <v>502237</v>
      </c>
      <c r="E25" s="147">
        <v>381039</v>
      </c>
    </row>
    <row r="26" spans="3:5" ht="15" thickBot="1" x14ac:dyDescent="0.35">
      <c r="C26" s="152" t="s">
        <v>490</v>
      </c>
      <c r="D26" s="153">
        <v>-207737</v>
      </c>
      <c r="E26" s="153">
        <v>905069</v>
      </c>
    </row>
    <row r="27" spans="3:5" ht="15" thickBot="1" x14ac:dyDescent="0.35">
      <c r="C27" s="154"/>
      <c r="D27" s="155">
        <v>1451352</v>
      </c>
      <c r="E27" s="156">
        <v>1851305</v>
      </c>
    </row>
    <row r="28" spans="3:5" ht="15" thickTop="1" x14ac:dyDescent="0.3">
      <c r="C28" s="151"/>
      <c r="D28" s="151"/>
      <c r="E28" s="151"/>
    </row>
    <row r="29" spans="3:5" x14ac:dyDescent="0.3">
      <c r="C29" s="143" t="s">
        <v>491</v>
      </c>
      <c r="D29" s="144" t="s">
        <v>476</v>
      </c>
      <c r="E29" s="144" t="s">
        <v>476</v>
      </c>
    </row>
    <row r="30" spans="3:5" x14ac:dyDescent="0.3">
      <c r="C30" s="145" t="s">
        <v>492</v>
      </c>
      <c r="D30" s="147">
        <v>1013327</v>
      </c>
      <c r="E30" s="147">
        <v>663496</v>
      </c>
    </row>
    <row r="31" spans="3:5" x14ac:dyDescent="0.3">
      <c r="C31" s="145" t="s">
        <v>16</v>
      </c>
      <c r="D31" s="144" t="s">
        <v>28</v>
      </c>
      <c r="E31" s="144">
        <v>-283</v>
      </c>
    </row>
    <row r="32" spans="3:5" x14ac:dyDescent="0.3">
      <c r="C32" s="145" t="s">
        <v>493</v>
      </c>
      <c r="D32" s="147">
        <v>634239</v>
      </c>
      <c r="E32" s="147">
        <v>691312</v>
      </c>
    </row>
    <row r="33" spans="3:5" x14ac:dyDescent="0.3">
      <c r="C33" s="145" t="s">
        <v>494</v>
      </c>
      <c r="D33" s="147">
        <v>577362</v>
      </c>
      <c r="E33" s="147">
        <v>249496</v>
      </c>
    </row>
    <row r="34" spans="3:5" x14ac:dyDescent="0.3">
      <c r="C34" s="145" t="s">
        <v>495</v>
      </c>
      <c r="D34" s="147">
        <v>143674</v>
      </c>
      <c r="E34" s="147">
        <v>-14070</v>
      </c>
    </row>
    <row r="35" spans="3:5" x14ac:dyDescent="0.3">
      <c r="C35" s="145" t="s">
        <v>496</v>
      </c>
      <c r="D35" s="147">
        <v>-14064</v>
      </c>
      <c r="E35" s="147">
        <v>-5388</v>
      </c>
    </row>
    <row r="36" spans="3:5" x14ac:dyDescent="0.3">
      <c r="C36" s="145" t="s">
        <v>282</v>
      </c>
      <c r="D36" s="147">
        <v>-2146</v>
      </c>
      <c r="E36" s="144">
        <v>-542</v>
      </c>
    </row>
    <row r="37" spans="3:5" x14ac:dyDescent="0.3">
      <c r="C37" s="145" t="s">
        <v>497</v>
      </c>
      <c r="D37" s="147">
        <v>-53502</v>
      </c>
      <c r="E37" s="147">
        <v>2983456</v>
      </c>
    </row>
    <row r="38" spans="3:5" x14ac:dyDescent="0.3">
      <c r="C38" s="145" t="s">
        <v>498</v>
      </c>
      <c r="D38" s="147">
        <v>130890</v>
      </c>
      <c r="E38" s="147">
        <v>128715</v>
      </c>
    </row>
    <row r="39" spans="3:5" x14ac:dyDescent="0.3">
      <c r="C39" s="145" t="s">
        <v>499</v>
      </c>
      <c r="D39" s="147">
        <v>4954</v>
      </c>
      <c r="E39" s="144">
        <v>-198</v>
      </c>
    </row>
    <row r="40" spans="3:5" x14ac:dyDescent="0.3">
      <c r="C40" s="145" t="s">
        <v>500</v>
      </c>
      <c r="D40" s="144">
        <v>-856</v>
      </c>
      <c r="E40" s="147">
        <v>-2025</v>
      </c>
    </row>
    <row r="41" spans="3:5" x14ac:dyDescent="0.3">
      <c r="C41" s="145" t="s">
        <v>486</v>
      </c>
      <c r="D41" s="147">
        <v>5330</v>
      </c>
      <c r="E41" s="147">
        <v>281607</v>
      </c>
    </row>
    <row r="42" spans="3:5" x14ac:dyDescent="0.3">
      <c r="C42" s="145" t="s">
        <v>501</v>
      </c>
      <c r="D42" s="147">
        <v>25041</v>
      </c>
      <c r="E42" s="147">
        <v>-35121</v>
      </c>
    </row>
    <row r="43" spans="3:5" x14ac:dyDescent="0.3">
      <c r="C43" s="145" t="s">
        <v>18</v>
      </c>
      <c r="D43" s="147">
        <v>-89222</v>
      </c>
      <c r="E43" s="147">
        <v>754597</v>
      </c>
    </row>
    <row r="44" spans="3:5" x14ac:dyDescent="0.3">
      <c r="C44" s="145" t="s">
        <v>502</v>
      </c>
      <c r="D44" s="147">
        <v>32281</v>
      </c>
      <c r="E44" s="147">
        <v>310307</v>
      </c>
    </row>
    <row r="45" spans="3:5" x14ac:dyDescent="0.3">
      <c r="C45" s="145" t="s">
        <v>503</v>
      </c>
      <c r="D45" s="147">
        <v>290572</v>
      </c>
      <c r="E45" s="147">
        <v>717929</v>
      </c>
    </row>
    <row r="46" spans="3:5" x14ac:dyDescent="0.3">
      <c r="C46" s="145" t="s">
        <v>504</v>
      </c>
      <c r="D46" s="147">
        <v>37081</v>
      </c>
      <c r="E46" s="144" t="s">
        <v>28</v>
      </c>
    </row>
    <row r="47" spans="3:5" x14ac:dyDescent="0.3">
      <c r="C47" s="145" t="s">
        <v>505</v>
      </c>
      <c r="D47" s="144" t="s">
        <v>28</v>
      </c>
      <c r="E47" s="147">
        <v>-6218</v>
      </c>
    </row>
    <row r="48" spans="3:5" ht="15" thickBot="1" x14ac:dyDescent="0.35">
      <c r="C48" s="152" t="s">
        <v>506</v>
      </c>
      <c r="D48" s="157" t="s">
        <v>28</v>
      </c>
      <c r="E48" s="153">
        <v>408044</v>
      </c>
    </row>
    <row r="49" spans="3:5" ht="15" thickBot="1" x14ac:dyDescent="0.35">
      <c r="C49" s="154"/>
      <c r="D49" s="156">
        <v>2734961</v>
      </c>
      <c r="E49" s="156">
        <v>7125114</v>
      </c>
    </row>
    <row r="50" spans="3:5" ht="15" thickTop="1" x14ac:dyDescent="0.3"/>
    <row r="51" spans="3:5" x14ac:dyDescent="0.3">
      <c r="C51" s="145" t="s">
        <v>507</v>
      </c>
      <c r="D51" s="177">
        <f>D27+D49</f>
        <v>4186313</v>
      </c>
      <c r="E51" s="177">
        <f>E27+E49</f>
        <v>8976419</v>
      </c>
    </row>
    <row r="52" spans="3:5" x14ac:dyDescent="0.3">
      <c r="C52" t="s">
        <v>525</v>
      </c>
      <c r="D52" s="142">
        <f>-SUM(D19,D25,D26)</f>
        <v>-1708149</v>
      </c>
      <c r="E52" s="142">
        <f>-SUM(E19,E25,E26)</f>
        <v>-1526123</v>
      </c>
    </row>
    <row r="53" spans="3:5" ht="15" thickBot="1" x14ac:dyDescent="0.35">
      <c r="C53" t="s">
        <v>526</v>
      </c>
      <c r="D53" s="158">
        <f>SUM(D51:D52)</f>
        <v>2478164</v>
      </c>
      <c r="E53" s="158">
        <f>SUM(E51:E52)</f>
        <v>7450296</v>
      </c>
    </row>
    <row r="54" spans="3:5" ht="15" thickTop="1" x14ac:dyDescent="0.3"/>
  </sheetData>
  <mergeCells count="2">
    <mergeCell ref="D10:D11"/>
    <mergeCell ref="E10:E11"/>
  </mergeCells>
  <conditionalFormatting sqref="D16:D26">
    <cfRule type="top10" dxfId="3" priority="3" rank="3"/>
  </conditionalFormatting>
  <conditionalFormatting sqref="D30:D48">
    <cfRule type="top10" dxfId="2" priority="1" rank="3"/>
  </conditionalFormatting>
  <conditionalFormatting sqref="E16:E26">
    <cfRule type="top10" dxfId="1" priority="4" rank="3"/>
  </conditionalFormatting>
  <conditionalFormatting sqref="E30:E48">
    <cfRule type="top10" dxfId="0" priority="2" rank="3"/>
  </conditionalFormatting>
  <hyperlinks>
    <hyperlink ref="E3" location="Contents!E9" display="Contents!E9" xr:uid="{ED440572-5517-4014-ADBE-B41DFCF82B09}"/>
  </hyperlinks>
  <printOptions headings="1"/>
  <pageMargins left="0.35433070866141736" right="0.27559055118110237" top="0.31496062992125984" bottom="0.27559055118110237" header="0.11811023622047245" footer="0.11811023622047245"/>
  <pageSetup paperSize="9" scale="69" orientation="landscape" r:id="rId1"/>
  <headerFooter>
    <oddFooter>&amp;R&amp;F &amp;A &amp;D P&amp;P/&amp;N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C7E10-3C37-4FB1-BAB8-6671569E4103}">
  <sheetPr>
    <tabColor rgb="FFFF00FF"/>
  </sheetPr>
  <dimension ref="A1:S115"/>
  <sheetViews>
    <sheetView showGridLines="0" view="pageBreakPreview" zoomScale="80" zoomScaleNormal="80" zoomScaleSheetLayoutView="80" workbookViewId="0">
      <pane xSplit="2" ySplit="5" topLeftCell="C50" activePane="bottomRight" state="frozen"/>
      <selection pane="topRight" activeCell="C1" sqref="C1"/>
      <selection pane="bottomLeft" activeCell="A6" sqref="A6"/>
      <selection pane="bottomRight" activeCell="C5" sqref="C5"/>
    </sheetView>
  </sheetViews>
  <sheetFormatPr defaultRowHeight="14.4" x14ac:dyDescent="0.3"/>
  <cols>
    <col min="1" max="1" width="2" customWidth="1"/>
    <col min="2" max="2" width="2.21875" customWidth="1"/>
    <col min="3" max="3" width="48.21875" customWidth="1"/>
    <col min="4" max="4" width="10.5546875" customWidth="1"/>
    <col min="5" max="5" width="10.77734375" customWidth="1"/>
    <col min="6" max="18" width="10.21875" customWidth="1"/>
    <col min="19" max="19" width="15.77734375" bestFit="1" customWidth="1"/>
  </cols>
  <sheetData>
    <row r="1" spans="3:19" x14ac:dyDescent="0.3">
      <c r="D1" s="56">
        <v>1000000</v>
      </c>
      <c r="E1" s="56">
        <f>D1</f>
        <v>1000000</v>
      </c>
      <c r="F1" s="56">
        <f>E1</f>
        <v>1000000</v>
      </c>
      <c r="G1" s="56">
        <f t="shared" ref="G1:P1" si="0">F1</f>
        <v>1000000</v>
      </c>
      <c r="H1" s="56">
        <f t="shared" si="0"/>
        <v>1000000</v>
      </c>
      <c r="I1" s="56">
        <f t="shared" si="0"/>
        <v>1000000</v>
      </c>
      <c r="J1" s="56">
        <f t="shared" si="0"/>
        <v>1000000</v>
      </c>
      <c r="K1" s="56">
        <f t="shared" si="0"/>
        <v>1000000</v>
      </c>
      <c r="L1" s="56">
        <f t="shared" si="0"/>
        <v>1000000</v>
      </c>
      <c r="M1" s="56">
        <f t="shared" si="0"/>
        <v>1000000</v>
      </c>
      <c r="N1" s="56">
        <f t="shared" si="0"/>
        <v>1000000</v>
      </c>
      <c r="O1" s="56">
        <f t="shared" si="0"/>
        <v>1000000</v>
      </c>
      <c r="P1" s="56">
        <f t="shared" si="0"/>
        <v>1000000</v>
      </c>
      <c r="Q1" s="56">
        <f>P1</f>
        <v>1000000</v>
      </c>
      <c r="R1" s="56">
        <f>Q1</f>
        <v>1000000</v>
      </c>
    </row>
    <row r="2" spans="3:19" ht="18" x14ac:dyDescent="0.35">
      <c r="C2" s="78" t="s">
        <v>234</v>
      </c>
      <c r="O2" s="160" t="s">
        <v>518</v>
      </c>
    </row>
    <row r="3" spans="3:19" ht="18" x14ac:dyDescent="0.35">
      <c r="C3" s="78" t="s">
        <v>244</v>
      </c>
    </row>
    <row r="4" spans="3:19" ht="18" x14ac:dyDescent="0.35">
      <c r="C4" s="78" t="s">
        <v>452</v>
      </c>
    </row>
    <row r="5" spans="3:19" ht="18" x14ac:dyDescent="0.35">
      <c r="C5" s="87" t="s">
        <v>586</v>
      </c>
    </row>
    <row r="6" spans="3:19" ht="72.599999999999994" customHeight="1" x14ac:dyDescent="0.3">
      <c r="D6" s="219" t="s">
        <v>454</v>
      </c>
      <c r="E6" s="220"/>
      <c r="F6" s="220"/>
      <c r="G6" s="220"/>
      <c r="H6" s="220"/>
      <c r="I6" s="220"/>
      <c r="J6" s="220"/>
      <c r="K6" s="220"/>
      <c r="L6" s="220"/>
      <c r="M6" s="220"/>
      <c r="N6" s="220"/>
      <c r="O6" s="220"/>
      <c r="P6" s="220"/>
      <c r="Q6" s="220"/>
      <c r="R6" s="221"/>
      <c r="S6" s="85" t="s">
        <v>453</v>
      </c>
    </row>
    <row r="7" spans="3:19" x14ac:dyDescent="0.3">
      <c r="D7" s="42" t="s">
        <v>100</v>
      </c>
      <c r="E7" s="42" t="s">
        <v>100</v>
      </c>
      <c r="F7" s="42" t="s">
        <v>100</v>
      </c>
      <c r="G7" s="42" t="s">
        <v>100</v>
      </c>
      <c r="H7" s="42" t="s">
        <v>100</v>
      </c>
      <c r="I7" s="42" t="s">
        <v>100</v>
      </c>
      <c r="J7" s="42" t="s">
        <v>100</v>
      </c>
      <c r="K7" s="42" t="s">
        <v>100</v>
      </c>
      <c r="L7" s="42" t="s">
        <v>100</v>
      </c>
      <c r="M7" s="42" t="s">
        <v>100</v>
      </c>
      <c r="N7" s="42" t="s">
        <v>100</v>
      </c>
      <c r="O7" s="42" t="s">
        <v>100</v>
      </c>
      <c r="P7" s="42" t="s">
        <v>100</v>
      </c>
      <c r="Q7" s="42" t="s">
        <v>100</v>
      </c>
      <c r="R7" s="42" t="s">
        <v>100</v>
      </c>
    </row>
    <row r="8" spans="3:19" x14ac:dyDescent="0.3">
      <c r="D8" s="52" t="s">
        <v>164</v>
      </c>
      <c r="E8" s="52" t="s">
        <v>162</v>
      </c>
      <c r="F8" s="52" t="s">
        <v>161</v>
      </c>
      <c r="G8" s="52" t="s">
        <v>160</v>
      </c>
      <c r="H8" s="52" t="s">
        <v>159</v>
      </c>
      <c r="I8" s="52" t="s">
        <v>158</v>
      </c>
      <c r="J8" s="53" t="s">
        <v>63</v>
      </c>
      <c r="K8" s="53" t="s">
        <v>62</v>
      </c>
      <c r="L8" s="54" t="s">
        <v>5</v>
      </c>
      <c r="M8" s="54" t="s">
        <v>4</v>
      </c>
      <c r="N8" s="54" t="s">
        <v>3</v>
      </c>
      <c r="O8" s="54" t="s">
        <v>2</v>
      </c>
      <c r="P8" s="54" t="s">
        <v>1</v>
      </c>
      <c r="Q8" s="54" t="s">
        <v>232</v>
      </c>
      <c r="R8" s="54" t="s">
        <v>245</v>
      </c>
    </row>
    <row r="9" spans="3:19" x14ac:dyDescent="0.3">
      <c r="D9" s="43"/>
      <c r="E9" s="43"/>
      <c r="F9" s="43"/>
      <c r="G9" s="43"/>
      <c r="H9" s="43"/>
      <c r="I9" s="43"/>
      <c r="J9" s="43"/>
      <c r="K9" s="43"/>
      <c r="L9" s="43"/>
      <c r="M9" s="43"/>
      <c r="N9" s="43"/>
      <c r="O9" s="43"/>
      <c r="P9" s="43"/>
    </row>
    <row r="11" spans="3:19" x14ac:dyDescent="0.3">
      <c r="C11" t="s">
        <v>172</v>
      </c>
      <c r="D11" s="57">
        <f>26092141/D1</f>
        <v>26.092141000000002</v>
      </c>
      <c r="E11" s="57">
        <f>29823853/E1</f>
        <v>29.823853</v>
      </c>
      <c r="F11" s="57">
        <f>34240412/F1</f>
        <v>34.240411999999999</v>
      </c>
      <c r="G11" s="57">
        <f>34917044/G1</f>
        <v>34.917043999999997</v>
      </c>
      <c r="H11" s="57">
        <f>38426414/H1</f>
        <v>38.426414000000001</v>
      </c>
      <c r="I11" s="57">
        <f>41441774/I1</f>
        <v>41.441774000000002</v>
      </c>
      <c r="J11" s="57">
        <f>43838449/J1</f>
        <v>43.838448999999997</v>
      </c>
      <c r="K11" s="57">
        <f>45422444/K1</f>
        <v>45.422443999999999</v>
      </c>
      <c r="L11" s="57">
        <f>47482296/L1</f>
        <v>47.482295999999998</v>
      </c>
      <c r="M11" s="57">
        <f>55266282/M1</f>
        <v>55.266281999999997</v>
      </c>
      <c r="N11" s="57">
        <f>57983893/N1</f>
        <v>57.983893000000002</v>
      </c>
      <c r="O11" s="57">
        <f>61157945/O1</f>
        <v>61.157944999999998</v>
      </c>
      <c r="P11" s="57">
        <f>62621369/P1</f>
        <v>62.621369000000001</v>
      </c>
      <c r="Q11" s="57">
        <f>64037907/Q1</f>
        <v>64.037907000000004</v>
      </c>
      <c r="R11" s="57">
        <f>73998778/R1</f>
        <v>73.998778000000001</v>
      </c>
    </row>
    <row r="12" spans="3:19" x14ac:dyDescent="0.3">
      <c r="C12" t="s">
        <v>165</v>
      </c>
      <c r="D12" s="58">
        <f t="shared" ref="D12:R12" si="1">D11/$D11</f>
        <v>1</v>
      </c>
      <c r="E12" s="58">
        <f t="shared" si="1"/>
        <v>1.1430205363369759</v>
      </c>
      <c r="F12" s="58">
        <f t="shared" si="1"/>
        <v>1.3122883246721684</v>
      </c>
      <c r="G12" s="58">
        <f t="shared" si="1"/>
        <v>1.3382207309089735</v>
      </c>
      <c r="H12" s="58">
        <f t="shared" si="1"/>
        <v>1.4727198507780561</v>
      </c>
      <c r="I12" s="58">
        <f t="shared" si="1"/>
        <v>1.5882856834170871</v>
      </c>
      <c r="J12" s="58">
        <f t="shared" si="1"/>
        <v>1.6801399701159057</v>
      </c>
      <c r="K12" s="58">
        <f t="shared" si="1"/>
        <v>1.7408477134934996</v>
      </c>
      <c r="L12" s="58">
        <f t="shared" si="1"/>
        <v>1.8197930173687162</v>
      </c>
      <c r="M12" s="58">
        <f t="shared" si="1"/>
        <v>2.1181198583895431</v>
      </c>
      <c r="N12" s="58">
        <f t="shared" si="1"/>
        <v>2.2222742472532246</v>
      </c>
      <c r="O12" s="58">
        <f t="shared" si="1"/>
        <v>2.3439220645021042</v>
      </c>
      <c r="P12" s="58">
        <f t="shared" si="1"/>
        <v>2.4000088379102351</v>
      </c>
      <c r="Q12" s="58">
        <f t="shared" si="1"/>
        <v>2.4542986717724697</v>
      </c>
      <c r="R12" s="58">
        <f t="shared" si="1"/>
        <v>2.8360561902528425</v>
      </c>
      <c r="S12" s="86">
        <f>(R12-1)/14</f>
        <v>0.1311468707323459</v>
      </c>
    </row>
    <row r="13" spans="3:19" x14ac:dyDescent="0.3">
      <c r="C13" s="84" t="s">
        <v>233</v>
      </c>
      <c r="D13" s="43"/>
      <c r="E13" s="86">
        <f t="shared" ref="E13:R13" si="2">E11/D11-1</f>
        <v>0.14302053633697587</v>
      </c>
      <c r="F13" s="86">
        <f t="shared" si="2"/>
        <v>0.14808814273595039</v>
      </c>
      <c r="G13" s="86">
        <f t="shared" si="2"/>
        <v>1.9761210817206276E-2</v>
      </c>
      <c r="H13" s="86">
        <f t="shared" si="2"/>
        <v>0.10050593057075519</v>
      </c>
      <c r="I13" s="86">
        <f t="shared" si="2"/>
        <v>7.8471022562761172E-2</v>
      </c>
      <c r="J13" s="86">
        <f t="shared" si="2"/>
        <v>5.783234569060669E-2</v>
      </c>
      <c r="K13" s="86">
        <f t="shared" si="2"/>
        <v>3.6132551131085933E-2</v>
      </c>
      <c r="L13" s="86">
        <f t="shared" si="2"/>
        <v>4.5348770753066425E-2</v>
      </c>
      <c r="M13" s="86">
        <f t="shared" si="2"/>
        <v>0.16393449044671304</v>
      </c>
      <c r="N13" s="86">
        <f t="shared" si="2"/>
        <v>4.9173038273137459E-2</v>
      </c>
      <c r="O13" s="86">
        <f t="shared" si="2"/>
        <v>5.4740236223876693E-2</v>
      </c>
      <c r="P13" s="86">
        <f t="shared" si="2"/>
        <v>2.3928599955410634E-2</v>
      </c>
      <c r="Q13" s="86">
        <f t="shared" si="2"/>
        <v>2.2620680809453342E-2</v>
      </c>
      <c r="R13" s="86">
        <f t="shared" si="2"/>
        <v>0.15554647968116764</v>
      </c>
      <c r="S13" s="58"/>
    </row>
    <row r="14" spans="3:19" x14ac:dyDescent="0.3">
      <c r="D14" s="58"/>
      <c r="E14" s="58"/>
      <c r="F14" s="58"/>
      <c r="G14" s="58"/>
      <c r="H14" s="58"/>
      <c r="I14" s="58"/>
      <c r="J14" s="58"/>
      <c r="K14" s="58"/>
      <c r="L14" s="58"/>
      <c r="M14" s="58"/>
      <c r="N14" s="58"/>
      <c r="O14" s="58"/>
      <c r="P14" s="58"/>
      <c r="Q14" s="58"/>
      <c r="R14" s="58"/>
      <c r="S14" s="58"/>
    </row>
    <row r="15" spans="3:19" x14ac:dyDescent="0.3">
      <c r="D15" s="43"/>
    </row>
    <row r="16" spans="3:19" x14ac:dyDescent="0.3">
      <c r="C16" t="s">
        <v>168</v>
      </c>
      <c r="D16" s="55">
        <f>4050071/D$1</f>
        <v>4.050071</v>
      </c>
      <c r="E16" s="55">
        <f>4933897/E$1</f>
        <v>4.933897</v>
      </c>
      <c r="F16" s="55">
        <f>5412614/F$1</f>
        <v>5.4126139999999996</v>
      </c>
      <c r="G16" s="55">
        <f>5976391/G$1</f>
        <v>5.9763909999999996</v>
      </c>
      <c r="H16" s="55">
        <f>7215938/H$1</f>
        <v>7.2159380000000004</v>
      </c>
      <c r="I16" s="55">
        <f>7674889/I$1</f>
        <v>7.6748890000000003</v>
      </c>
      <c r="J16" s="55">
        <f>8138059/J$1</f>
        <v>8.1380590000000002</v>
      </c>
      <c r="K16" s="55">
        <f>9110560/K$1</f>
        <v>9.1105599999999995</v>
      </c>
      <c r="L16" s="55">
        <f>9110560/L$1</f>
        <v>9.1105599999999995</v>
      </c>
      <c r="M16" s="55">
        <f>12372032/M$1</f>
        <v>12.372032000000001</v>
      </c>
      <c r="N16" s="55">
        <f>12552224/N$1</f>
        <v>12.552224000000001</v>
      </c>
      <c r="O16" s="55">
        <f>13035792/O$1</f>
        <v>13.035792000000001</v>
      </c>
      <c r="P16" s="55">
        <f>13499729/P$1</f>
        <v>13.499729</v>
      </c>
      <c r="Q16" s="55">
        <f>(14535591*0+14049882)/Q$1</f>
        <v>14.049882</v>
      </c>
      <c r="R16" s="55">
        <f>16798945/R$1</f>
        <v>16.798945</v>
      </c>
    </row>
    <row r="17" spans="3:19" x14ac:dyDescent="0.3">
      <c r="C17" t="s">
        <v>169</v>
      </c>
      <c r="D17" s="58">
        <f t="shared" ref="D17:R17" si="3">D16/$D16</f>
        <v>1</v>
      </c>
      <c r="E17" s="58">
        <f t="shared" si="3"/>
        <v>1.2182248163056895</v>
      </c>
      <c r="F17" s="58">
        <f t="shared" si="3"/>
        <v>1.3364244725586292</v>
      </c>
      <c r="G17" s="58">
        <f t="shared" si="3"/>
        <v>1.4756262297623917</v>
      </c>
      <c r="H17" s="58">
        <f t="shared" si="3"/>
        <v>1.7816818519971627</v>
      </c>
      <c r="I17" s="58">
        <f t="shared" si="3"/>
        <v>1.8950010999807165</v>
      </c>
      <c r="J17" s="58">
        <f t="shared" si="3"/>
        <v>2.0093620580972531</v>
      </c>
      <c r="K17" s="58">
        <f t="shared" si="3"/>
        <v>2.2494815522987128</v>
      </c>
      <c r="L17" s="58">
        <f t="shared" si="3"/>
        <v>2.2494815522987128</v>
      </c>
      <c r="M17" s="58">
        <f t="shared" si="3"/>
        <v>3.0547691633060263</v>
      </c>
      <c r="N17" s="58">
        <f t="shared" si="3"/>
        <v>3.0992602351909389</v>
      </c>
      <c r="O17" s="58">
        <f t="shared" si="3"/>
        <v>3.2186576482239451</v>
      </c>
      <c r="P17" s="58">
        <f t="shared" si="3"/>
        <v>3.3332079857365464</v>
      </c>
      <c r="Q17" s="58">
        <f t="shared" si="3"/>
        <v>3.4690458512949527</v>
      </c>
      <c r="R17" s="58">
        <f t="shared" si="3"/>
        <v>4.1478149395405657</v>
      </c>
      <c r="S17" s="86">
        <f>(R17-1)/14</f>
        <v>0.22484392425289754</v>
      </c>
    </row>
    <row r="18" spans="3:19" x14ac:dyDescent="0.3">
      <c r="C18" s="84" t="s">
        <v>233</v>
      </c>
      <c r="D18" s="58"/>
      <c r="E18" s="86">
        <f t="shared" ref="E18:R18" si="4">E16/D16-1</f>
        <v>0.21822481630568946</v>
      </c>
      <c r="F18" s="86">
        <f t="shared" si="4"/>
        <v>9.7026143837214196E-2</v>
      </c>
      <c r="G18" s="86">
        <f t="shared" si="4"/>
        <v>0.10415983848100008</v>
      </c>
      <c r="H18" s="86">
        <f t="shared" si="4"/>
        <v>0.20740727974458184</v>
      </c>
      <c r="I18" s="86">
        <f t="shared" si="4"/>
        <v>6.3602403457457601E-2</v>
      </c>
      <c r="J18" s="86">
        <f t="shared" si="4"/>
        <v>6.0348755532490417E-2</v>
      </c>
      <c r="K18" s="86">
        <f t="shared" si="4"/>
        <v>0.11950036243286011</v>
      </c>
      <c r="L18" s="86">
        <f t="shared" si="4"/>
        <v>0</v>
      </c>
      <c r="M18" s="86">
        <f t="shared" si="4"/>
        <v>0.3579880929383048</v>
      </c>
      <c r="N18" s="86">
        <f t="shared" si="4"/>
        <v>1.4564462814192547E-2</v>
      </c>
      <c r="O18" s="86">
        <f t="shared" si="4"/>
        <v>3.8524487772047422E-2</v>
      </c>
      <c r="P18" s="86">
        <f t="shared" si="4"/>
        <v>3.5589475499455681E-2</v>
      </c>
      <c r="Q18" s="86">
        <f t="shared" si="4"/>
        <v>4.0752892150649922E-2</v>
      </c>
      <c r="R18" s="86">
        <f t="shared" si="4"/>
        <v>0.19566449027828137</v>
      </c>
      <c r="S18" s="58"/>
    </row>
    <row r="19" spans="3:19" x14ac:dyDescent="0.3">
      <c r="D19" s="43"/>
      <c r="E19" s="43"/>
      <c r="F19" s="43"/>
      <c r="G19" s="43"/>
      <c r="H19" s="43"/>
      <c r="I19" s="43"/>
      <c r="J19" s="43"/>
      <c r="K19" s="43"/>
      <c r="L19" s="43"/>
      <c r="M19" s="43"/>
      <c r="N19" s="43"/>
      <c r="O19" s="43"/>
      <c r="P19" s="43"/>
    </row>
    <row r="20" spans="3:19" x14ac:dyDescent="0.3">
      <c r="D20" s="43"/>
    </row>
    <row r="21" spans="3:19" x14ac:dyDescent="0.3">
      <c r="C21" t="s">
        <v>170</v>
      </c>
      <c r="D21" s="55">
        <f>12477685/D$1</f>
        <v>12.477684999999999</v>
      </c>
      <c r="E21" s="55">
        <f>15209782/E$1</f>
        <v>15.209782000000001</v>
      </c>
      <c r="F21" s="55">
        <f>18135473/F$1</f>
        <v>18.135473000000001</v>
      </c>
      <c r="G21" s="55">
        <f>19313900/G$1</f>
        <v>19.3139</v>
      </c>
      <c r="H21" s="55">
        <f>20115991/H$1</f>
        <v>20.115991000000001</v>
      </c>
      <c r="I21" s="55">
        <f>21504935/I$1</f>
        <v>21.504935</v>
      </c>
      <c r="J21" s="55">
        <f>23328536/J$1</f>
        <v>23.328536</v>
      </c>
      <c r="K21" s="55">
        <f>25092442/K$1</f>
        <v>25.092441999999998</v>
      </c>
      <c r="L21" s="55">
        <f>24824006/L$1</f>
        <v>24.824006000000001</v>
      </c>
      <c r="M21" s="55">
        <f>27286699/M$1</f>
        <v>27.286698999999999</v>
      </c>
      <c r="N21" s="55">
        <f>29482300/N$1</f>
        <v>29.482299999999999</v>
      </c>
      <c r="O21" s="55">
        <f>30300721/O$1</f>
        <v>30.300720999999999</v>
      </c>
      <c r="P21" s="55">
        <f>33224869/P$1</f>
        <v>33.224868999999998</v>
      </c>
      <c r="Q21" s="55">
        <f>((16753600+8929070+6180662+2455459)*0+32673937)/Q1</f>
        <v>32.673937000000002</v>
      </c>
      <c r="R21" s="55">
        <f>37936455/R1</f>
        <v>37.936455000000002</v>
      </c>
    </row>
    <row r="22" spans="3:19" x14ac:dyDescent="0.3">
      <c r="C22" t="s">
        <v>171</v>
      </c>
      <c r="D22" s="58">
        <f t="shared" ref="D22:R22" si="5">D21/$D21</f>
        <v>1</v>
      </c>
      <c r="E22" s="58">
        <f t="shared" si="5"/>
        <v>1.2189586449730059</v>
      </c>
      <c r="F22" s="58">
        <f t="shared" si="5"/>
        <v>1.453432507712769</v>
      </c>
      <c r="G22" s="58">
        <f t="shared" si="5"/>
        <v>1.5478752669265174</v>
      </c>
      <c r="H22" s="58">
        <f t="shared" si="5"/>
        <v>1.6121573032177043</v>
      </c>
      <c r="I22" s="58">
        <f t="shared" si="5"/>
        <v>1.7234715413956996</v>
      </c>
      <c r="J22" s="58">
        <f t="shared" si="5"/>
        <v>1.8696205265640222</v>
      </c>
      <c r="K22" s="58">
        <f t="shared" si="5"/>
        <v>2.0109853710844598</v>
      </c>
      <c r="L22" s="58">
        <f t="shared" si="5"/>
        <v>1.9894720855671546</v>
      </c>
      <c r="M22" s="58">
        <f t="shared" si="5"/>
        <v>2.1868398665297288</v>
      </c>
      <c r="N22" s="58">
        <f t="shared" si="5"/>
        <v>2.3628020742629743</v>
      </c>
      <c r="O22" s="58">
        <f t="shared" si="5"/>
        <v>2.4283928469103042</v>
      </c>
      <c r="P22" s="58">
        <f t="shared" si="5"/>
        <v>2.6627430488908801</v>
      </c>
      <c r="Q22" s="58">
        <f t="shared" si="5"/>
        <v>2.6185896662722294</v>
      </c>
      <c r="R22" s="58">
        <f t="shared" si="5"/>
        <v>3.0403440221483398</v>
      </c>
      <c r="S22" s="86">
        <f>(R22-1)/14</f>
        <v>0.1457388587248814</v>
      </c>
    </row>
    <row r="23" spans="3:19" x14ac:dyDescent="0.3">
      <c r="C23" s="84" t="s">
        <v>233</v>
      </c>
      <c r="D23" s="58"/>
      <c r="E23" s="86">
        <f t="shared" ref="E23:R23" si="6">E21/D21-1</f>
        <v>0.21895864497300588</v>
      </c>
      <c r="F23" s="86">
        <f t="shared" si="6"/>
        <v>0.19235587991990943</v>
      </c>
      <c r="G23" s="86">
        <f t="shared" si="6"/>
        <v>6.4979115791465647E-2</v>
      </c>
      <c r="H23" s="86">
        <f t="shared" si="6"/>
        <v>4.1529209533030631E-2</v>
      </c>
      <c r="I23" s="86">
        <f t="shared" si="6"/>
        <v>6.9046759863831575E-2</v>
      </c>
      <c r="J23" s="86">
        <f t="shared" si="6"/>
        <v>8.4799186791310932E-2</v>
      </c>
      <c r="K23" s="86">
        <f t="shared" si="6"/>
        <v>7.5611517156498831E-2</v>
      </c>
      <c r="L23" s="86">
        <f t="shared" si="6"/>
        <v>-1.0697882653270541E-2</v>
      </c>
      <c r="M23" s="86">
        <f t="shared" si="6"/>
        <v>9.9206107185117354E-2</v>
      </c>
      <c r="N23" s="86">
        <f t="shared" si="6"/>
        <v>8.0464148484945097E-2</v>
      </c>
      <c r="O23" s="86">
        <f t="shared" si="6"/>
        <v>2.7759740590116877E-2</v>
      </c>
      <c r="P23" s="86">
        <f t="shared" si="6"/>
        <v>9.6504238298487977E-2</v>
      </c>
      <c r="Q23" s="86">
        <f t="shared" si="6"/>
        <v>-1.6581916395215779E-2</v>
      </c>
      <c r="R23" s="86">
        <f t="shared" si="6"/>
        <v>0.16106164371927378</v>
      </c>
      <c r="S23" s="58"/>
    </row>
    <row r="24" spans="3:19" x14ac:dyDescent="0.3">
      <c r="D24" s="43"/>
      <c r="E24" s="43"/>
      <c r="F24" s="43"/>
      <c r="G24" s="43"/>
      <c r="H24" s="43"/>
      <c r="I24" s="43"/>
      <c r="J24" s="43"/>
      <c r="K24" s="43"/>
      <c r="L24" s="43"/>
      <c r="M24" s="43"/>
      <c r="N24" s="43"/>
      <c r="O24" s="43"/>
      <c r="P24" s="43"/>
    </row>
    <row r="25" spans="3:19" x14ac:dyDescent="0.3">
      <c r="D25" s="43"/>
    </row>
    <row r="26" spans="3:19" x14ac:dyDescent="0.3">
      <c r="D26" s="59" t="str">
        <f>D$7</f>
        <v>R Bn</v>
      </c>
      <c r="E26" s="59" t="str">
        <f t="shared" ref="E26:R26" si="7">E$7</f>
        <v>R Bn</v>
      </c>
      <c r="F26" s="59" t="str">
        <f t="shared" si="7"/>
        <v>R Bn</v>
      </c>
      <c r="G26" s="59" t="str">
        <f t="shared" si="7"/>
        <v>R Bn</v>
      </c>
      <c r="H26" s="59" t="str">
        <f t="shared" si="7"/>
        <v>R Bn</v>
      </c>
      <c r="I26" s="59" t="str">
        <f t="shared" si="7"/>
        <v>R Bn</v>
      </c>
      <c r="J26" s="59" t="str">
        <f t="shared" si="7"/>
        <v>R Bn</v>
      </c>
      <c r="K26" s="59" t="str">
        <f t="shared" si="7"/>
        <v>R Bn</v>
      </c>
      <c r="L26" s="59" t="str">
        <f t="shared" si="7"/>
        <v>R Bn</v>
      </c>
      <c r="M26" s="59" t="str">
        <f t="shared" si="7"/>
        <v>R Bn</v>
      </c>
      <c r="N26" s="59" t="str">
        <f t="shared" si="7"/>
        <v>R Bn</v>
      </c>
      <c r="O26" s="59" t="str">
        <f t="shared" si="7"/>
        <v>R Bn</v>
      </c>
      <c r="P26" s="59" t="str">
        <f t="shared" si="7"/>
        <v>R Bn</v>
      </c>
      <c r="Q26" s="59" t="str">
        <f t="shared" si="7"/>
        <v>R Bn</v>
      </c>
      <c r="R26" s="59" t="str">
        <f t="shared" si="7"/>
        <v>R Bn</v>
      </c>
    </row>
    <row r="27" spans="3:19" x14ac:dyDescent="0.3">
      <c r="D27" s="42" t="str">
        <f>D$8</f>
        <v>2009/10</v>
      </c>
      <c r="E27" s="42" t="str">
        <f t="shared" ref="E27:R27" si="8">E$8</f>
        <v>2010/11</v>
      </c>
      <c r="F27" s="42" t="str">
        <f t="shared" si="8"/>
        <v>2011/12</v>
      </c>
      <c r="G27" s="42" t="str">
        <f t="shared" si="8"/>
        <v>2012/13</v>
      </c>
      <c r="H27" s="42" t="str">
        <f t="shared" si="8"/>
        <v>2013/14</v>
      </c>
      <c r="I27" s="42" t="str">
        <f t="shared" si="8"/>
        <v>2014/15</v>
      </c>
      <c r="J27" s="42" t="str">
        <f t="shared" si="8"/>
        <v>2015/16</v>
      </c>
      <c r="K27" s="42" t="str">
        <f t="shared" si="8"/>
        <v>2016/17</v>
      </c>
      <c r="L27" s="42" t="str">
        <f t="shared" si="8"/>
        <v>2017/18</v>
      </c>
      <c r="M27" s="42" t="str">
        <f t="shared" si="8"/>
        <v>2018/19</v>
      </c>
      <c r="N27" s="42" t="str">
        <f t="shared" si="8"/>
        <v>2019/20</v>
      </c>
      <c r="O27" s="42" t="str">
        <f t="shared" si="8"/>
        <v>2020/21</v>
      </c>
      <c r="P27" s="42" t="str">
        <f t="shared" si="8"/>
        <v>2021/22</v>
      </c>
      <c r="Q27" s="42" t="str">
        <f t="shared" si="8"/>
        <v>2022/23</v>
      </c>
      <c r="R27" s="42" t="str">
        <f t="shared" si="8"/>
        <v>2023/24</v>
      </c>
    </row>
    <row r="28" spans="3:19" x14ac:dyDescent="0.3">
      <c r="C28" t="s">
        <v>99</v>
      </c>
      <c r="D28" s="55">
        <f>5925902/D$1</f>
        <v>5.9259019999999998</v>
      </c>
      <c r="E28" s="55">
        <f>6468824/E$1</f>
        <v>6.4688239999999997</v>
      </c>
      <c r="F28" s="55">
        <f>6876153/F$1</f>
        <v>6.8761530000000004</v>
      </c>
      <c r="G28" s="55">
        <f>7448344/G$1</f>
        <v>7.4483439999999996</v>
      </c>
      <c r="H28" s="55">
        <f>7942566/H$1</f>
        <v>7.9425660000000002</v>
      </c>
      <c r="I28" s="55">
        <f>8589106/I$1</f>
        <v>8.5891059999999992</v>
      </c>
      <c r="J28" s="55">
        <f>8999338/J$1</f>
        <v>8.9993379999999998</v>
      </c>
      <c r="K28" s="55">
        <f>9856583/K$1</f>
        <v>9.8565830000000005</v>
      </c>
      <c r="L28" s="55">
        <f>10684522/L$1</f>
        <v>10.684521999999999</v>
      </c>
      <c r="M28" s="55">
        <f>12579506/M$1</f>
        <v>12.579506</v>
      </c>
      <c r="N28" s="55">
        <f>14360724/N$1</f>
        <v>14.360723999999999</v>
      </c>
      <c r="O28" s="55">
        <f>15268496/O$1</f>
        <v>15.268496000000001</v>
      </c>
      <c r="P28" s="55">
        <f>16127058/P$1</f>
        <v>16.127058000000002</v>
      </c>
      <c r="Q28" s="55">
        <f>(18036753*0+17613858)/Q$1</f>
        <v>17.613858</v>
      </c>
      <c r="R28" s="55">
        <f>19363760/R$1</f>
        <v>19.363759999999999</v>
      </c>
    </row>
    <row r="29" spans="3:19" x14ac:dyDescent="0.3">
      <c r="C29" t="s">
        <v>167</v>
      </c>
      <c r="D29" s="58">
        <f t="shared" ref="D29:P29" si="9">D28/$D28</f>
        <v>1</v>
      </c>
      <c r="E29" s="58">
        <f t="shared" si="9"/>
        <v>1.0916184574095218</v>
      </c>
      <c r="F29" s="58">
        <f t="shared" si="9"/>
        <v>1.1603555036853463</v>
      </c>
      <c r="G29" s="58">
        <f t="shared" si="9"/>
        <v>1.2569131247867413</v>
      </c>
      <c r="H29" s="58">
        <f t="shared" si="9"/>
        <v>1.3403134240154495</v>
      </c>
      <c r="I29" s="58">
        <f t="shared" si="9"/>
        <v>1.4494174895231138</v>
      </c>
      <c r="J29" s="58">
        <f t="shared" si="9"/>
        <v>1.5186444190268418</v>
      </c>
      <c r="K29" s="58">
        <f t="shared" si="9"/>
        <v>1.6633050968443286</v>
      </c>
      <c r="L29" s="58">
        <f t="shared" si="9"/>
        <v>1.8030203671947325</v>
      </c>
      <c r="M29" s="58">
        <f t="shared" si="9"/>
        <v>2.1228002083058413</v>
      </c>
      <c r="N29" s="58">
        <f t="shared" si="9"/>
        <v>2.4233819594046611</v>
      </c>
      <c r="O29" s="58">
        <f t="shared" si="9"/>
        <v>2.5765691028977531</v>
      </c>
      <c r="P29" s="58">
        <f t="shared" si="9"/>
        <v>2.7214520253625527</v>
      </c>
      <c r="Q29" s="58">
        <f>Q28/$D28</f>
        <v>2.9723505383652991</v>
      </c>
      <c r="R29" s="58">
        <f>R28/$D28</f>
        <v>3.2676476931275609</v>
      </c>
      <c r="S29" s="86">
        <f>(R29-1)/14</f>
        <v>0.1619748352233972</v>
      </c>
    </row>
    <row r="30" spans="3:19" x14ac:dyDescent="0.3">
      <c r="C30" s="84" t="s">
        <v>233</v>
      </c>
      <c r="D30" s="58"/>
      <c r="E30" s="86">
        <f t="shared" ref="E30:R30" si="10">E28/D28-1</f>
        <v>9.1618457409521792E-2</v>
      </c>
      <c r="F30" s="86">
        <f t="shared" si="10"/>
        <v>6.2968013969772585E-2</v>
      </c>
      <c r="G30" s="86">
        <f t="shared" si="10"/>
        <v>8.3213826103054833E-2</v>
      </c>
      <c r="H30" s="86">
        <f t="shared" si="10"/>
        <v>6.6353272620061743E-2</v>
      </c>
      <c r="I30" s="86">
        <f t="shared" si="10"/>
        <v>8.1401904623770172E-2</v>
      </c>
      <c r="J30" s="86">
        <f t="shared" si="10"/>
        <v>4.7761897454752678E-2</v>
      </c>
      <c r="K30" s="86">
        <f t="shared" si="10"/>
        <v>9.5256451085624416E-2</v>
      </c>
      <c r="L30" s="86">
        <f t="shared" si="10"/>
        <v>8.3998582470212968E-2</v>
      </c>
      <c r="M30" s="86">
        <f t="shared" si="10"/>
        <v>0.17735786402049625</v>
      </c>
      <c r="N30" s="86">
        <f t="shared" si="10"/>
        <v>0.14159681628197474</v>
      </c>
      <c r="O30" s="86">
        <f t="shared" si="10"/>
        <v>6.3212133315841301E-2</v>
      </c>
      <c r="P30" s="86">
        <f t="shared" si="10"/>
        <v>5.6230947697795575E-2</v>
      </c>
      <c r="Q30" s="86">
        <f t="shared" si="10"/>
        <v>9.2192884777868356E-2</v>
      </c>
      <c r="R30" s="86">
        <f t="shared" si="10"/>
        <v>9.9348024720081085E-2</v>
      </c>
      <c r="S30" s="58"/>
    </row>
    <row r="31" spans="3:19" x14ac:dyDescent="0.3">
      <c r="D31" s="43"/>
      <c r="E31" s="43"/>
      <c r="F31" s="43"/>
      <c r="G31" s="43"/>
      <c r="H31" s="43"/>
      <c r="I31" s="43"/>
      <c r="J31" s="43"/>
      <c r="K31" s="43"/>
      <c r="L31" s="43"/>
      <c r="M31" s="43"/>
      <c r="N31" s="43"/>
      <c r="O31" s="43"/>
      <c r="P31" s="43"/>
    </row>
    <row r="32" spans="3:19" x14ac:dyDescent="0.3">
      <c r="D32" s="43"/>
    </row>
    <row r="33" spans="1:19" x14ac:dyDescent="0.3">
      <c r="D33" s="59" t="str">
        <f>D$7</f>
        <v>R Bn</v>
      </c>
      <c r="E33" s="59" t="str">
        <f t="shared" ref="E33:R33" si="11">E$7</f>
        <v>R Bn</v>
      </c>
      <c r="F33" s="59" t="str">
        <f t="shared" si="11"/>
        <v>R Bn</v>
      </c>
      <c r="G33" s="59" t="str">
        <f t="shared" si="11"/>
        <v>R Bn</v>
      </c>
      <c r="H33" s="59" t="str">
        <f t="shared" si="11"/>
        <v>R Bn</v>
      </c>
      <c r="I33" s="59" t="str">
        <f t="shared" si="11"/>
        <v>R Bn</v>
      </c>
      <c r="J33" s="59" t="str">
        <f t="shared" si="11"/>
        <v>R Bn</v>
      </c>
      <c r="K33" s="59" t="str">
        <f t="shared" si="11"/>
        <v>R Bn</v>
      </c>
      <c r="L33" s="59" t="str">
        <f t="shared" si="11"/>
        <v>R Bn</v>
      </c>
      <c r="M33" s="59" t="str">
        <f t="shared" si="11"/>
        <v>R Bn</v>
      </c>
      <c r="N33" s="59" t="str">
        <f t="shared" si="11"/>
        <v>R Bn</v>
      </c>
      <c r="O33" s="59" t="str">
        <f t="shared" si="11"/>
        <v>R Bn</v>
      </c>
      <c r="P33" s="59" t="str">
        <f t="shared" si="11"/>
        <v>R Bn</v>
      </c>
      <c r="Q33" s="59" t="str">
        <f t="shared" si="11"/>
        <v>R Bn</v>
      </c>
      <c r="R33" s="59" t="str">
        <f t="shared" si="11"/>
        <v>R Bn</v>
      </c>
    </row>
    <row r="34" spans="1:19" x14ac:dyDescent="0.3">
      <c r="D34" s="42" t="str">
        <f>D$8</f>
        <v>2009/10</v>
      </c>
      <c r="E34" s="42" t="str">
        <f t="shared" ref="E34:P34" si="12">E8</f>
        <v>2010/11</v>
      </c>
      <c r="F34" s="42" t="str">
        <f t="shared" si="12"/>
        <v>2011/12</v>
      </c>
      <c r="G34" s="42" t="str">
        <f t="shared" si="12"/>
        <v>2012/13</v>
      </c>
      <c r="H34" s="42" t="str">
        <f t="shared" si="12"/>
        <v>2013/14</v>
      </c>
      <c r="I34" s="42" t="str">
        <f t="shared" si="12"/>
        <v>2014/15</v>
      </c>
      <c r="J34" s="42" t="str">
        <f t="shared" si="12"/>
        <v>2015/16</v>
      </c>
      <c r="K34" s="42" t="str">
        <f t="shared" si="12"/>
        <v>2016/17</v>
      </c>
      <c r="L34" s="42" t="str">
        <f t="shared" si="12"/>
        <v>2017/18</v>
      </c>
      <c r="M34" s="42" t="str">
        <f t="shared" si="12"/>
        <v>2018/19</v>
      </c>
      <c r="N34" s="42" t="str">
        <f t="shared" si="12"/>
        <v>2019/20</v>
      </c>
      <c r="O34" s="42" t="str">
        <f t="shared" si="12"/>
        <v>2020/21</v>
      </c>
      <c r="P34" s="42" t="str">
        <f t="shared" si="12"/>
        <v>2021/22</v>
      </c>
      <c r="Q34" s="42" t="str">
        <f>Q8</f>
        <v>2022/23</v>
      </c>
      <c r="R34" s="42" t="str">
        <f>R8</f>
        <v>2023/24</v>
      </c>
    </row>
    <row r="35" spans="1:19" x14ac:dyDescent="0.3">
      <c r="C35" t="s">
        <v>163</v>
      </c>
      <c r="D35" s="55">
        <f>2080306/D$1</f>
        <v>2.0803060000000002</v>
      </c>
      <c r="E35" s="55">
        <f>2780370/E$1</f>
        <v>2.78037</v>
      </c>
      <c r="F35" s="55">
        <f>2191637/F$1</f>
        <v>2.1916370000000001</v>
      </c>
      <c r="G35" s="55">
        <f>2879653/G$1</f>
        <v>2.8796529999999998</v>
      </c>
      <c r="H35" s="55">
        <f>2977382/H$1</f>
        <v>2.977382</v>
      </c>
      <c r="I35" s="55">
        <f>3862791/I$1</f>
        <v>3.8627910000000001</v>
      </c>
      <c r="J35" s="55">
        <f>2483374/J$1</f>
        <v>2.483374</v>
      </c>
      <c r="K35" s="55">
        <f>3723735/K$1</f>
        <v>3.723735</v>
      </c>
      <c r="L35" s="55">
        <f>3379992/L$1</f>
        <v>3.3799920000000001</v>
      </c>
      <c r="M35" s="55">
        <f>4578857/M$1</f>
        <v>4.5788570000000002</v>
      </c>
      <c r="N35" s="55">
        <f>6925118/N$1</f>
        <v>6.9251180000000003</v>
      </c>
      <c r="O35" s="55">
        <f>6404714/O$1</f>
        <v>6.4047140000000002</v>
      </c>
      <c r="P35" s="55">
        <f>5848126/P$1</f>
        <v>5.8481259999999997</v>
      </c>
      <c r="Q35" s="55">
        <f>(5640802*0+6180985)/Q$1</f>
        <v>6.1809849999999997</v>
      </c>
      <c r="R35" s="55">
        <f>8739261/R$1</f>
        <v>8.7392610000000008</v>
      </c>
    </row>
    <row r="36" spans="1:19" x14ac:dyDescent="0.3">
      <c r="C36" t="s">
        <v>166</v>
      </c>
      <c r="D36" s="58">
        <f t="shared" ref="D36:O36" si="13">D35/$D35</f>
        <v>1</v>
      </c>
      <c r="E36" s="58">
        <f t="shared" si="13"/>
        <v>1.3365197235406714</v>
      </c>
      <c r="F36" s="58">
        <f t="shared" si="13"/>
        <v>1.0535166461087935</v>
      </c>
      <c r="G36" s="58">
        <f t="shared" si="13"/>
        <v>1.3842449139693869</v>
      </c>
      <c r="H36" s="58">
        <f t="shared" si="13"/>
        <v>1.4312230989094872</v>
      </c>
      <c r="I36" s="58">
        <f t="shared" si="13"/>
        <v>1.8568378882722059</v>
      </c>
      <c r="J36" s="58">
        <f t="shared" si="13"/>
        <v>1.1937541880857911</v>
      </c>
      <c r="K36" s="58">
        <f t="shared" si="13"/>
        <v>1.789993875900949</v>
      </c>
      <c r="L36" s="58">
        <f t="shared" si="13"/>
        <v>1.6247571270764973</v>
      </c>
      <c r="M36" s="58">
        <f t="shared" si="13"/>
        <v>2.2010497494118653</v>
      </c>
      <c r="N36" s="58">
        <f t="shared" si="13"/>
        <v>3.3288939223364253</v>
      </c>
      <c r="O36" s="58">
        <f t="shared" si="13"/>
        <v>3.0787364935735413</v>
      </c>
      <c r="P36" s="58">
        <f>P35/$D35</f>
        <v>2.811185469829919</v>
      </c>
      <c r="Q36" s="58">
        <f>Q35/$D35</f>
        <v>2.9711902960429857</v>
      </c>
      <c r="R36" s="58">
        <f>R35/$D35</f>
        <v>4.2009497641212397</v>
      </c>
      <c r="S36" s="86">
        <f>(R36-1)/14</f>
        <v>0.22863926886580282</v>
      </c>
    </row>
    <row r="37" spans="1:19" x14ac:dyDescent="0.3">
      <c r="C37" s="84" t="s">
        <v>233</v>
      </c>
      <c r="D37" s="58"/>
      <c r="E37" s="86">
        <f t="shared" ref="E37:R37" si="14">E35/D35-1</f>
        <v>0.33651972354067139</v>
      </c>
      <c r="F37" s="86">
        <f t="shared" si="14"/>
        <v>-0.21174627837302229</v>
      </c>
      <c r="G37" s="86">
        <f t="shared" si="14"/>
        <v>0.3139278995563588</v>
      </c>
      <c r="H37" s="86">
        <f t="shared" si="14"/>
        <v>3.393776958543282E-2</v>
      </c>
      <c r="I37" s="86">
        <f t="shared" si="14"/>
        <v>0.29737836797562434</v>
      </c>
      <c r="J37" s="86">
        <f t="shared" si="14"/>
        <v>-0.35710371076250313</v>
      </c>
      <c r="K37" s="86">
        <f t="shared" si="14"/>
        <v>0.4994660490123517</v>
      </c>
      <c r="L37" s="86">
        <f t="shared" si="14"/>
        <v>-9.2311348686198058E-2</v>
      </c>
      <c r="M37" s="86">
        <f t="shared" si="14"/>
        <v>0.35469462649615746</v>
      </c>
      <c r="N37" s="86">
        <f t="shared" si="14"/>
        <v>0.51241194035978843</v>
      </c>
      <c r="O37" s="86">
        <f t="shared" si="14"/>
        <v>-7.5147311569275788E-2</v>
      </c>
      <c r="P37" s="86">
        <f t="shared" si="14"/>
        <v>-8.6902865608050606E-2</v>
      </c>
      <c r="Q37" s="86">
        <f t="shared" si="14"/>
        <v>5.6917207324192365E-2</v>
      </c>
      <c r="R37" s="86">
        <f t="shared" si="14"/>
        <v>0.41389454916975232</v>
      </c>
      <c r="S37" s="58"/>
    </row>
    <row r="40" spans="1:19" x14ac:dyDescent="0.3">
      <c r="C40" t="s">
        <v>101</v>
      </c>
      <c r="D40" s="55">
        <f>4625881/D$1</f>
        <v>4.6258809999999997</v>
      </c>
      <c r="E40" s="55">
        <f>3783645/E$1</f>
        <v>3.7836449999999999</v>
      </c>
      <c r="F40" s="55">
        <f>3677328/F$1</f>
        <v>3.6773280000000002</v>
      </c>
      <c r="G40" s="55">
        <f>4322235/G$1</f>
        <v>4.322235</v>
      </c>
      <c r="H40" s="55">
        <f>7300353/H$1</f>
        <v>7.3003530000000003</v>
      </c>
      <c r="I40" s="55">
        <f>9818846/I$1</f>
        <v>9.8188460000000006</v>
      </c>
      <c r="J40" s="55">
        <f>10028603/J$1</f>
        <v>10.028603</v>
      </c>
      <c r="K40" s="55">
        <f>7100961/K$1</f>
        <v>7.1009609999999999</v>
      </c>
      <c r="L40" s="55">
        <f>6354940/L$1</f>
        <v>6.35494</v>
      </c>
      <c r="M40" s="55">
        <f>7273648/M$1</f>
        <v>7.2736479999999997</v>
      </c>
      <c r="N40" s="55">
        <f>5755752/N$1</f>
        <v>5.7557520000000002</v>
      </c>
      <c r="O40" s="55">
        <f>6782509/O$1</f>
        <v>6.7825090000000001</v>
      </c>
      <c r="P40" s="55">
        <f>6620654/P$1</f>
        <v>6.620654</v>
      </c>
      <c r="Q40" s="55">
        <f>(5815000*0+6545157)/Q$1</f>
        <v>6.5451569999999997</v>
      </c>
      <c r="R40" s="55">
        <f>7648451/R$1</f>
        <v>7.6484509999999997</v>
      </c>
      <c r="S40" s="190"/>
    </row>
    <row r="41" spans="1:19" x14ac:dyDescent="0.3">
      <c r="C41" t="s">
        <v>174</v>
      </c>
      <c r="D41" s="58">
        <f t="shared" ref="D41:O41" si="15">D40/$D40</f>
        <v>1</v>
      </c>
      <c r="E41" s="58">
        <f t="shared" si="15"/>
        <v>0.81792960086954247</v>
      </c>
      <c r="F41" s="58">
        <f t="shared" si="15"/>
        <v>0.79494651937652538</v>
      </c>
      <c r="G41" s="58">
        <f t="shared" si="15"/>
        <v>0.93435931447436726</v>
      </c>
      <c r="H41" s="58">
        <f t="shared" si="15"/>
        <v>1.5781540856757883</v>
      </c>
      <c r="I41" s="58">
        <f t="shared" si="15"/>
        <v>2.1225894051316931</v>
      </c>
      <c r="J41" s="58">
        <f t="shared" si="15"/>
        <v>2.1679336325339977</v>
      </c>
      <c r="K41" s="58">
        <f t="shared" si="15"/>
        <v>1.5350505125402059</v>
      </c>
      <c r="L41" s="58">
        <f t="shared" si="15"/>
        <v>1.3737793946709829</v>
      </c>
      <c r="M41" s="58">
        <f t="shared" si="15"/>
        <v>1.5723811312915312</v>
      </c>
      <c r="N41" s="58">
        <f t="shared" si="15"/>
        <v>1.24424990612599</v>
      </c>
      <c r="O41" s="58">
        <f t="shared" si="15"/>
        <v>1.466209139405013</v>
      </c>
      <c r="P41" s="58">
        <f>P40/$D40</f>
        <v>1.431220128663059</v>
      </c>
      <c r="Q41" s="58">
        <f>Q40/$D40</f>
        <v>1.4148995618348159</v>
      </c>
      <c r="R41" s="58">
        <f>R40/$D40</f>
        <v>1.6534041839813864</v>
      </c>
      <c r="S41" s="86">
        <f>(R41-1)/14</f>
        <v>4.6671727427241891E-2</v>
      </c>
    </row>
    <row r="42" spans="1:19" x14ac:dyDescent="0.3">
      <c r="C42" s="84" t="s">
        <v>233</v>
      </c>
      <c r="E42" s="86">
        <f t="shared" ref="E42:R42" si="16">E40/D40-1</f>
        <v>-0.18207039913045753</v>
      </c>
      <c r="F42" s="86">
        <f t="shared" si="16"/>
        <v>-2.8099094920374323E-2</v>
      </c>
      <c r="G42" s="86">
        <f t="shared" si="16"/>
        <v>0.17537380402292091</v>
      </c>
      <c r="H42" s="86">
        <f t="shared" si="16"/>
        <v>0.68902269312057318</v>
      </c>
      <c r="I42" s="86">
        <f t="shared" si="16"/>
        <v>0.34498235907222563</v>
      </c>
      <c r="J42" s="86">
        <f t="shared" si="16"/>
        <v>2.1362693742217775E-2</v>
      </c>
      <c r="K42" s="86">
        <f t="shared" si="16"/>
        <v>-0.29192919492375957</v>
      </c>
      <c r="L42" s="86">
        <f t="shared" si="16"/>
        <v>-0.10505916030238727</v>
      </c>
      <c r="M42" s="86">
        <f t="shared" si="16"/>
        <v>0.14456595971008368</v>
      </c>
      <c r="N42" s="86">
        <f t="shared" si="16"/>
        <v>-0.20868428057007982</v>
      </c>
      <c r="O42" s="86">
        <f t="shared" si="16"/>
        <v>0.17838798474986417</v>
      </c>
      <c r="P42" s="86">
        <f t="shared" si="16"/>
        <v>-2.3863587943635634E-2</v>
      </c>
      <c r="Q42" s="86">
        <f t="shared" si="16"/>
        <v>-1.1403254119608186E-2</v>
      </c>
      <c r="R42" s="86">
        <f t="shared" si="16"/>
        <v>0.16856646830626065</v>
      </c>
    </row>
    <row r="44" spans="1:19" x14ac:dyDescent="0.3">
      <c r="A44" s="199"/>
      <c r="C44" t="s">
        <v>538</v>
      </c>
      <c r="D44" s="55">
        <v>1</v>
      </c>
      <c r="E44" s="55">
        <f>'Inflation Rate'!R17</f>
        <v>1.0941000000000001</v>
      </c>
      <c r="F44" s="55">
        <f>'Inflation Rate'!S17</f>
        <v>1.1553696000000002</v>
      </c>
      <c r="G44" s="55">
        <f>'Inflation Rate'!T17</f>
        <v>1.2212256672000001</v>
      </c>
      <c r="H44" s="55">
        <f>'Inflation Rate'!U17</f>
        <v>1.2957204328992</v>
      </c>
      <c r="I44" s="55">
        <f>'Inflation Rate'!V17</f>
        <v>1.3553235728125632</v>
      </c>
      <c r="J44" s="55">
        <f>'Inflation Rate'!W17</f>
        <v>1.4407089578997547</v>
      </c>
      <c r="K44" s="55">
        <f>'Inflation Rate'!X17</f>
        <v>1.5170665326684416</v>
      </c>
      <c r="L44" s="55">
        <f>'Inflation Rate'!Y17</f>
        <v>1.58685159317119</v>
      </c>
      <c r="M44" s="55">
        <f>'Inflation Rate'!Z17</f>
        <v>1.6519125084912085</v>
      </c>
      <c r="N44" s="55">
        <f>'Inflation Rate'!AA17</f>
        <v>1.7064256212714182</v>
      </c>
      <c r="O44" s="55">
        <f>'Inflation Rate'!AB17</f>
        <v>1.7849211998499035</v>
      </c>
      <c r="P44" s="55">
        <f>'Inflation Rate'!AC17</f>
        <v>1.9080807626395468</v>
      </c>
      <c r="Q44" s="55">
        <f>'Inflation Rate'!AD17</f>
        <v>2.0206575276352798</v>
      </c>
      <c r="R44" s="55">
        <f>'Inflation Rate'!AE17</f>
        <v>2.1156284314341378</v>
      </c>
    </row>
    <row r="45" spans="1:19" ht="28.8" x14ac:dyDescent="0.3">
      <c r="A45" s="199"/>
      <c r="C45" s="188" t="s">
        <v>548</v>
      </c>
      <c r="D45" s="190">
        <f t="shared" ref="D45:R45" si="17">D40/D44</f>
        <v>4.6258809999999997</v>
      </c>
      <c r="E45" s="190">
        <f t="shared" si="17"/>
        <v>3.4582259391280501</v>
      </c>
      <c r="F45" s="190">
        <f t="shared" si="17"/>
        <v>3.1828152653488542</v>
      </c>
      <c r="G45" s="190">
        <f t="shared" si="17"/>
        <v>3.5392598731649061</v>
      </c>
      <c r="H45" s="190">
        <f t="shared" si="17"/>
        <v>5.6342038102041165</v>
      </c>
      <c r="I45" s="190">
        <f t="shared" si="17"/>
        <v>7.2446507955468986</v>
      </c>
      <c r="J45" s="190">
        <f t="shared" si="17"/>
        <v>6.9608805755046852</v>
      </c>
      <c r="K45" s="190">
        <f t="shared" si="17"/>
        <v>4.680718246094175</v>
      </c>
      <c r="L45" s="190">
        <f t="shared" si="17"/>
        <v>4.0047475311161174</v>
      </c>
      <c r="M45" s="190">
        <f t="shared" si="17"/>
        <v>4.4031678206998155</v>
      </c>
      <c r="N45" s="190">
        <f t="shared" si="17"/>
        <v>3.3729873299203765</v>
      </c>
      <c r="O45" s="190">
        <f t="shared" si="17"/>
        <v>3.7998926790551599</v>
      </c>
      <c r="P45" s="190">
        <f t="shared" si="17"/>
        <v>3.4697975733696445</v>
      </c>
      <c r="Q45" s="190">
        <f t="shared" si="17"/>
        <v>3.2391223700631833</v>
      </c>
      <c r="R45" s="190">
        <f t="shared" si="17"/>
        <v>3.6152146976089199</v>
      </c>
      <c r="S45" s="190">
        <f>SUM(E45:R45)</f>
        <v>60.605684506824907</v>
      </c>
    </row>
    <row r="46" spans="1:19" x14ac:dyDescent="0.3">
      <c r="C46" t="s">
        <v>587</v>
      </c>
      <c r="S46" s="58">
        <f>R45/D45</f>
        <v>0.78151917388469794</v>
      </c>
    </row>
    <row r="48" spans="1:19" x14ac:dyDescent="0.3">
      <c r="C48" s="188" t="str">
        <f>'Tables &amp; Charts 7yrs'!C21</f>
        <v>Unauthorised, Irregular, Fruitless &amp; Wasteful Expenditure</v>
      </c>
      <c r="D48" s="161">
        <f>'Combined 7yrs'!D53/D$1</f>
        <v>0.15987899999999999</v>
      </c>
      <c r="E48" s="161">
        <f>'Combined 7yrs'!E53/E$1</f>
        <v>0.55284100000000003</v>
      </c>
      <c r="F48" s="161">
        <f>'Combined 7yrs'!F53/F$1</f>
        <v>0.78315400000000002</v>
      </c>
      <c r="G48" s="161">
        <f>'Combined 7yrs'!G53/G$1</f>
        <v>0.22498099999999999</v>
      </c>
      <c r="H48" s="161">
        <f>'Combined 7yrs'!H53/H$1</f>
        <v>5.6598999999999997E-2</v>
      </c>
      <c r="I48" s="161">
        <f>'Combined 7yrs'!I53/I$1</f>
        <v>1.2061440000000001</v>
      </c>
      <c r="J48" s="161">
        <f>'Combined 7yrs'!J53/J$1</f>
        <v>0.91997200000000001</v>
      </c>
      <c r="K48" s="161">
        <f>'Combined 7yrs'!K53/K$1</f>
        <v>2.078173</v>
      </c>
      <c r="L48" s="161">
        <f>'Combined 7yrs'!L53/L$1</f>
        <v>2.1314340000000001</v>
      </c>
      <c r="M48" s="161">
        <f>'Combined 7yrs'!M53/M$1</f>
        <v>2.8099759999999998</v>
      </c>
      <c r="N48" s="161">
        <f>'Combined 7yrs'!N53/N$1</f>
        <v>3.8552580000000001</v>
      </c>
      <c r="O48" s="161">
        <f>'Combined 7yrs'!O53/O$1</f>
        <v>3.730791</v>
      </c>
      <c r="P48" s="161">
        <f>'Combined 7yrs'!P53/P$1</f>
        <v>4.9797180000000001</v>
      </c>
      <c r="Q48" s="161">
        <f>'Combined 7yrs'!Q53/Q$1</f>
        <v>4.6913340000000003</v>
      </c>
      <c r="R48" s="161">
        <f>'Combined 7yrs'!R53/R$1</f>
        <v>11.282492</v>
      </c>
    </row>
    <row r="49" spans="1:19" x14ac:dyDescent="0.3">
      <c r="C49" t="s">
        <v>174</v>
      </c>
      <c r="E49" s="58">
        <f t="shared" ref="E49:M49" si="18">E48/$D48</f>
        <v>3.4578712651442656</v>
      </c>
      <c r="F49" s="58">
        <f t="shared" si="18"/>
        <v>4.8984169278016507</v>
      </c>
      <c r="G49" s="58">
        <f t="shared" si="18"/>
        <v>1.4071954415526742</v>
      </c>
      <c r="H49" s="58">
        <f t="shared" si="18"/>
        <v>0.35401147117507614</v>
      </c>
      <c r="I49" s="58">
        <f t="shared" si="18"/>
        <v>7.5441052295798707</v>
      </c>
      <c r="J49" s="58">
        <f t="shared" si="18"/>
        <v>5.7541765960507636</v>
      </c>
      <c r="K49" s="58">
        <f t="shared" si="18"/>
        <v>12.998411298544525</v>
      </c>
      <c r="L49" s="58">
        <f t="shared" si="18"/>
        <v>13.331544480513388</v>
      </c>
      <c r="M49" s="58">
        <f t="shared" si="18"/>
        <v>17.575641578944076</v>
      </c>
      <c r="N49" s="58">
        <f>N48/$D48</f>
        <v>24.113598408796655</v>
      </c>
      <c r="O49" s="58">
        <f>O48/$D48</f>
        <v>23.335090912502579</v>
      </c>
      <c r="P49" s="58">
        <f>P48/$D48</f>
        <v>31.146792261647875</v>
      </c>
      <c r="Q49" s="58">
        <f>Q48/$D48</f>
        <v>29.343028165049823</v>
      </c>
      <c r="R49" s="58">
        <f>R48/$D48</f>
        <v>70.568942762964497</v>
      </c>
      <c r="S49" s="86">
        <f>(R49-1)/14</f>
        <v>4.9692101973546068</v>
      </c>
    </row>
    <row r="50" spans="1:19" x14ac:dyDescent="0.3">
      <c r="E50" s="86">
        <f t="shared" ref="E50:L50" si="19">E48/D48-1</f>
        <v>2.4578712651442656</v>
      </c>
      <c r="F50" s="86">
        <f t="shared" si="19"/>
        <v>0.41659898596522327</v>
      </c>
      <c r="G50" s="86">
        <f t="shared" si="19"/>
        <v>-0.71272444500060017</v>
      </c>
      <c r="H50" s="86">
        <f t="shared" si="19"/>
        <v>-0.74842764500113346</v>
      </c>
      <c r="I50" s="86">
        <f t="shared" si="19"/>
        <v>20.310341172105517</v>
      </c>
      <c r="J50" s="86">
        <f t="shared" si="19"/>
        <v>-0.2372618858113128</v>
      </c>
      <c r="K50" s="86">
        <f t="shared" si="19"/>
        <v>1.2589524463788027</v>
      </c>
      <c r="L50" s="86">
        <f t="shared" si="19"/>
        <v>2.5628761416879087E-2</v>
      </c>
      <c r="M50" s="86">
        <f t="shared" ref="M50:R50" si="20">M48/L48-1</f>
        <v>0.31834999347856874</v>
      </c>
      <c r="N50" s="86">
        <f t="shared" si="20"/>
        <v>0.37198965400416251</v>
      </c>
      <c r="O50" s="86">
        <f t="shared" si="20"/>
        <v>-3.228499882498137E-2</v>
      </c>
      <c r="P50" s="86">
        <f t="shared" si="20"/>
        <v>0.33476198479089292</v>
      </c>
      <c r="Q50" s="86">
        <f t="shared" si="20"/>
        <v>-5.7911713072908877E-2</v>
      </c>
      <c r="R50" s="86">
        <f t="shared" si="20"/>
        <v>1.4049645580553416</v>
      </c>
    </row>
    <row r="51" spans="1:19" x14ac:dyDescent="0.3">
      <c r="E51" s="189"/>
      <c r="F51" s="189"/>
      <c r="G51" s="189"/>
      <c r="H51" s="189"/>
      <c r="I51" s="189"/>
      <c r="J51" s="189"/>
      <c r="K51" s="189"/>
      <c r="L51" s="189"/>
      <c r="M51" s="189"/>
      <c r="N51" s="189"/>
      <c r="O51" s="189"/>
      <c r="P51" s="189"/>
      <c r="Q51" s="189"/>
      <c r="R51" s="189"/>
    </row>
    <row r="52" spans="1:19" x14ac:dyDescent="0.3">
      <c r="D52" s="42" t="str">
        <f>D34</f>
        <v>2009/10</v>
      </c>
      <c r="E52" s="42" t="str">
        <f t="shared" ref="E52:R52" si="21">E34</f>
        <v>2010/11</v>
      </c>
      <c r="F52" s="42" t="str">
        <f t="shared" si="21"/>
        <v>2011/12</v>
      </c>
      <c r="G52" s="42" t="str">
        <f t="shared" si="21"/>
        <v>2012/13</v>
      </c>
      <c r="H52" s="42" t="str">
        <f t="shared" si="21"/>
        <v>2013/14</v>
      </c>
      <c r="I52" s="42" t="str">
        <f t="shared" si="21"/>
        <v>2014/15</v>
      </c>
      <c r="J52" s="42" t="str">
        <f t="shared" si="21"/>
        <v>2015/16</v>
      </c>
      <c r="K52" s="42" t="str">
        <f t="shared" si="21"/>
        <v>2016/17</v>
      </c>
      <c r="L52" s="42" t="str">
        <f t="shared" si="21"/>
        <v>2017/18</v>
      </c>
      <c r="M52" s="42" t="str">
        <f t="shared" si="21"/>
        <v>2018/19</v>
      </c>
      <c r="N52" s="42" t="str">
        <f t="shared" si="21"/>
        <v>2019/20</v>
      </c>
      <c r="O52" s="42" t="str">
        <f t="shared" si="21"/>
        <v>2020/21</v>
      </c>
      <c r="P52" s="42" t="str">
        <f t="shared" si="21"/>
        <v>2021/22</v>
      </c>
      <c r="Q52" s="42" t="str">
        <f t="shared" si="21"/>
        <v>2022/23</v>
      </c>
      <c r="R52" s="42" t="str">
        <f t="shared" si="21"/>
        <v>2023/24</v>
      </c>
    </row>
    <row r="53" spans="1:19" ht="28.8" x14ac:dyDescent="0.3">
      <c r="C53" s="188" t="s">
        <v>533</v>
      </c>
      <c r="D53" s="189">
        <f>(D35+D48)/D40</f>
        <v>0.48427207703786596</v>
      </c>
      <c r="E53" s="189">
        <f t="shared" ref="E53:R53" si="22">(E35+E48)/E40</f>
        <v>0.88095236207413752</v>
      </c>
      <c r="F53" s="189">
        <f t="shared" si="22"/>
        <v>0.80895449086945737</v>
      </c>
      <c r="G53" s="189">
        <f t="shared" si="22"/>
        <v>0.7182936605714404</v>
      </c>
      <c r="H53" s="189">
        <f t="shared" si="22"/>
        <v>0.41559373909727376</v>
      </c>
      <c r="I53" s="189">
        <f t="shared" si="22"/>
        <v>0.51624549361503369</v>
      </c>
      <c r="J53" s="189">
        <f t="shared" si="22"/>
        <v>0.33936391738709765</v>
      </c>
      <c r="K53" s="189">
        <f t="shared" si="22"/>
        <v>0.81705955010878106</v>
      </c>
      <c r="L53" s="189">
        <f t="shared" si="22"/>
        <v>0.86726641006838778</v>
      </c>
      <c r="M53" s="189">
        <f t="shared" si="22"/>
        <v>1.0158359326709239</v>
      </c>
      <c r="N53" s="189">
        <f t="shared" si="22"/>
        <v>1.8729743741564959</v>
      </c>
      <c r="O53" s="189">
        <f t="shared" si="22"/>
        <v>1.4943592408060202</v>
      </c>
      <c r="P53" s="189">
        <f t="shared" si="22"/>
        <v>1.6354644118239676</v>
      </c>
      <c r="Q53" s="189">
        <f t="shared" si="22"/>
        <v>1.6611242480508874</v>
      </c>
      <c r="R53" s="189">
        <f t="shared" si="22"/>
        <v>2.6177526665203192</v>
      </c>
    </row>
    <row r="54" spans="1:19" x14ac:dyDescent="0.3">
      <c r="E54" s="189"/>
      <c r="F54" s="189"/>
      <c r="G54" s="189"/>
      <c r="H54" s="189"/>
      <c r="I54" s="189"/>
      <c r="J54" s="189"/>
      <c r="K54" s="189"/>
      <c r="L54" s="189"/>
      <c r="M54" s="189"/>
      <c r="N54" s="189"/>
      <c r="O54" s="189"/>
      <c r="P54" s="189"/>
      <c r="Q54" s="189"/>
      <c r="R54" s="189"/>
    </row>
    <row r="55" spans="1:19" x14ac:dyDescent="0.3">
      <c r="A55" s="159"/>
    </row>
    <row r="56" spans="1:19" x14ac:dyDescent="0.3">
      <c r="A56" s="159"/>
    </row>
    <row r="57" spans="1:19" x14ac:dyDescent="0.3">
      <c r="A57" s="159"/>
    </row>
    <row r="58" spans="1:19" x14ac:dyDescent="0.3">
      <c r="A58" s="159"/>
    </row>
    <row r="59" spans="1:19" x14ac:dyDescent="0.3">
      <c r="A59" s="159"/>
    </row>
    <row r="60" spans="1:19" x14ac:dyDescent="0.3">
      <c r="A60" s="159"/>
    </row>
    <row r="61" spans="1:19" x14ac:dyDescent="0.3">
      <c r="A61" s="159"/>
    </row>
    <row r="62" spans="1:19" x14ac:dyDescent="0.3">
      <c r="A62" s="159"/>
    </row>
    <row r="63" spans="1:19" x14ac:dyDescent="0.3">
      <c r="A63" s="159"/>
    </row>
    <row r="64" spans="1:19" x14ac:dyDescent="0.3">
      <c r="A64" s="159"/>
    </row>
    <row r="65" spans="1:3" x14ac:dyDescent="0.3">
      <c r="A65" s="159"/>
    </row>
    <row r="66" spans="1:3" x14ac:dyDescent="0.3">
      <c r="A66" s="159"/>
    </row>
    <row r="67" spans="1:3" x14ac:dyDescent="0.3">
      <c r="A67" s="159"/>
    </row>
    <row r="68" spans="1:3" x14ac:dyDescent="0.3">
      <c r="A68" s="159"/>
    </row>
    <row r="69" spans="1:3" x14ac:dyDescent="0.3">
      <c r="A69" s="159"/>
    </row>
    <row r="70" spans="1:3" x14ac:dyDescent="0.3">
      <c r="A70" s="159"/>
    </row>
    <row r="71" spans="1:3" x14ac:dyDescent="0.3">
      <c r="A71" s="159"/>
    </row>
    <row r="72" spans="1:3" x14ac:dyDescent="0.3">
      <c r="A72" s="159"/>
    </row>
    <row r="73" spans="1:3" x14ac:dyDescent="0.3">
      <c r="A73" s="159"/>
    </row>
    <row r="74" spans="1:3" x14ac:dyDescent="0.3">
      <c r="C74" s="210" t="s">
        <v>534</v>
      </c>
    </row>
    <row r="75" spans="1:3" x14ac:dyDescent="0.3">
      <c r="C75" s="210" t="s">
        <v>535</v>
      </c>
    </row>
    <row r="76" spans="1:3" x14ac:dyDescent="0.3">
      <c r="C76" s="210" t="s">
        <v>536</v>
      </c>
    </row>
    <row r="77" spans="1:3" x14ac:dyDescent="0.3">
      <c r="C77" s="210" t="s">
        <v>537</v>
      </c>
    </row>
    <row r="81" spans="18:19" ht="18.75" customHeight="1" x14ac:dyDescent="0.3">
      <c r="R81" s="222" t="s">
        <v>531</v>
      </c>
      <c r="S81" s="222"/>
    </row>
    <row r="82" spans="18:19" x14ac:dyDescent="0.3">
      <c r="R82" s="222"/>
      <c r="S82" s="222"/>
    </row>
    <row r="83" spans="18:19" x14ac:dyDescent="0.3">
      <c r="R83" s="222"/>
      <c r="S83" s="222"/>
    </row>
    <row r="84" spans="18:19" x14ac:dyDescent="0.3">
      <c r="R84" s="222"/>
      <c r="S84" s="222"/>
    </row>
    <row r="85" spans="18:19" x14ac:dyDescent="0.3">
      <c r="R85" s="222"/>
      <c r="S85" s="222"/>
    </row>
    <row r="86" spans="18:19" x14ac:dyDescent="0.3">
      <c r="R86" s="222"/>
      <c r="S86" s="222"/>
    </row>
    <row r="87" spans="18:19" x14ac:dyDescent="0.3">
      <c r="R87" s="64"/>
      <c r="S87" s="64"/>
    </row>
    <row r="88" spans="18:19" x14ac:dyDescent="0.3">
      <c r="R88" s="64"/>
      <c r="S88" s="64"/>
    </row>
    <row r="115" spans="3:3" x14ac:dyDescent="0.3">
      <c r="C115" t="s">
        <v>522</v>
      </c>
    </row>
  </sheetData>
  <mergeCells count="2">
    <mergeCell ref="D6:R6"/>
    <mergeCell ref="R81:S86"/>
  </mergeCells>
  <hyperlinks>
    <hyperlink ref="O2" location="Contents!E9" display="Contents!E9" xr:uid="{A989083B-612B-49BF-B832-E04194EF0B4D}"/>
  </hyperlinks>
  <printOptions headings="1"/>
  <pageMargins left="0.27559055118110237" right="0.11811023622047245" top="0.35433070866141736" bottom="0.23622047244094491" header="0.11811023622047245" footer="0.11811023622047245"/>
  <pageSetup paperSize="9" scale="56" fitToHeight="3" orientation="landscape" r:id="rId1"/>
  <headerFooter>
    <oddFooter>&amp;R&amp;F &amp;A &amp;D P&amp;P/&amp;N</oddFooter>
  </headerFooter>
  <rowBreaks count="2" manualBreakCount="2">
    <brk id="51" max="18" man="1"/>
    <brk id="115" max="1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1172E-50A7-4E9D-B90F-0A65FBE86A97}">
  <sheetPr>
    <tabColor rgb="FF66FFFF"/>
  </sheetPr>
  <dimension ref="B1:L62"/>
  <sheetViews>
    <sheetView view="pageBreakPreview" topLeftCell="A21" zoomScale="80" zoomScaleNormal="100" zoomScaleSheetLayoutView="80" workbookViewId="0">
      <selection activeCell="J35" sqref="J35"/>
    </sheetView>
  </sheetViews>
  <sheetFormatPr defaultRowHeight="14.4" x14ac:dyDescent="0.3"/>
  <cols>
    <col min="1" max="1" width="4.21875" customWidth="1"/>
    <col min="2" max="2" width="4.5546875" customWidth="1"/>
    <col min="3" max="3" width="51.21875" customWidth="1"/>
    <col min="4" max="4" width="11.21875" customWidth="1"/>
    <col min="5" max="5" width="11.44140625" customWidth="1"/>
    <col min="6" max="9" width="11.21875" bestFit="1" customWidth="1"/>
    <col min="10" max="11" width="11.21875" customWidth="1"/>
    <col min="12" max="12" width="11.21875" bestFit="1" customWidth="1"/>
  </cols>
  <sheetData>
    <row r="1" spans="2:12" x14ac:dyDescent="0.3">
      <c r="D1" s="44">
        <f>E1</f>
        <v>1000000</v>
      </c>
      <c r="E1" s="44">
        <f>F1</f>
        <v>1000000</v>
      </c>
      <c r="F1" s="45">
        <v>1000000</v>
      </c>
      <c r="G1" s="44">
        <f t="shared" ref="G1:L1" si="0">F1</f>
        <v>1000000</v>
      </c>
      <c r="H1" s="44">
        <f t="shared" si="0"/>
        <v>1000000</v>
      </c>
      <c r="I1" s="44">
        <f t="shared" si="0"/>
        <v>1000000</v>
      </c>
      <c r="J1" s="44">
        <f t="shared" si="0"/>
        <v>1000000</v>
      </c>
      <c r="K1" s="44">
        <f t="shared" si="0"/>
        <v>1000000</v>
      </c>
      <c r="L1" s="44">
        <f t="shared" si="0"/>
        <v>1000000</v>
      </c>
    </row>
    <row r="2" spans="2:12" ht="18" x14ac:dyDescent="0.35">
      <c r="C2" s="78" t="s">
        <v>234</v>
      </c>
      <c r="D2" s="44"/>
      <c r="E2" s="44"/>
      <c r="F2" s="45"/>
      <c r="G2" s="44"/>
      <c r="H2" s="44"/>
      <c r="I2" s="44"/>
      <c r="J2" s="160" t="s">
        <v>518</v>
      </c>
      <c r="K2" s="44"/>
      <c r="L2" s="44"/>
    </row>
    <row r="3" spans="2:12" ht="18" x14ac:dyDescent="0.35">
      <c r="C3" s="78" t="s">
        <v>235</v>
      </c>
      <c r="D3" s="44"/>
      <c r="E3" s="44"/>
      <c r="F3" s="45"/>
      <c r="G3" s="44"/>
      <c r="H3" s="44"/>
      <c r="I3" s="44"/>
      <c r="J3" s="44"/>
      <c r="K3" s="44"/>
      <c r="L3" s="44"/>
    </row>
    <row r="4" spans="2:12" ht="18" x14ac:dyDescent="0.35">
      <c r="C4" s="78" t="s">
        <v>238</v>
      </c>
    </row>
    <row r="5" spans="2:12" x14ac:dyDescent="0.3">
      <c r="C5" s="11" t="s">
        <v>58</v>
      </c>
    </row>
    <row r="7" spans="2:12" x14ac:dyDescent="0.3">
      <c r="B7" s="47">
        <v>1</v>
      </c>
      <c r="C7" s="12" t="s">
        <v>105</v>
      </c>
    </row>
    <row r="8" spans="2:12" x14ac:dyDescent="0.3">
      <c r="F8" s="42" t="s">
        <v>100</v>
      </c>
      <c r="G8" s="42" t="s">
        <v>100</v>
      </c>
      <c r="H8" s="42" t="s">
        <v>100</v>
      </c>
      <c r="I8" s="42" t="s">
        <v>100</v>
      </c>
      <c r="J8" s="42" t="s">
        <v>100</v>
      </c>
      <c r="K8" s="42" t="s">
        <v>100</v>
      </c>
      <c r="L8" s="42" t="s">
        <v>100</v>
      </c>
    </row>
    <row r="9" spans="2:12" x14ac:dyDescent="0.3">
      <c r="D9" s="42" t="s">
        <v>63</v>
      </c>
      <c r="E9" s="42" t="s">
        <v>62</v>
      </c>
      <c r="F9" s="42" t="str">
        <f>'Combined 7yrs'!L7</f>
        <v>2017/18</v>
      </c>
      <c r="G9" s="42" t="str">
        <f>'Combined 7yrs'!M7</f>
        <v>2018/19</v>
      </c>
      <c r="H9" s="42" t="str">
        <f>'Combined 7yrs'!N7</f>
        <v>2019/20</v>
      </c>
      <c r="I9" s="42" t="str">
        <f>'Combined 7yrs'!O7</f>
        <v>2020/21</v>
      </c>
      <c r="J9" s="42" t="str">
        <f>'Combined 7yrs'!P7</f>
        <v>2021/22</v>
      </c>
      <c r="K9" s="42" t="str">
        <f>'Combined 7yrs'!Q7</f>
        <v>2022/23</v>
      </c>
      <c r="L9" s="42" t="str">
        <f>'Combined 7yrs'!R7</f>
        <v>2023/24</v>
      </c>
    </row>
    <row r="10" spans="2:12" x14ac:dyDescent="0.3">
      <c r="C10" t="s">
        <v>98</v>
      </c>
      <c r="D10" s="43">
        <f>'Combined 7yrs'!J15/D$1</f>
        <v>0</v>
      </c>
      <c r="E10" s="43">
        <f>'Combined 7yrs'!K15/E$1</f>
        <v>0</v>
      </c>
      <c r="F10" s="43">
        <f>'Combined 7yrs'!L15/F$1</f>
        <v>50.532519000000001</v>
      </c>
      <c r="G10" s="43">
        <f>'Combined 7yrs'!M15/G$1</f>
        <v>61.319197000000003</v>
      </c>
      <c r="H10" s="43">
        <f>'Combined 7yrs'!N15/H$1</f>
        <v>63.351554</v>
      </c>
      <c r="I10" s="43">
        <f>'Combined 7yrs'!O15/I$1</f>
        <v>68.276393999999996</v>
      </c>
      <c r="J10" s="43">
        <f>'Combined 7yrs'!P15/J$1</f>
        <v>61.268810999999999</v>
      </c>
      <c r="K10" s="43">
        <f>'Combined 7yrs'!Q15/K$1</f>
        <v>64.307796999999994</v>
      </c>
      <c r="L10" s="43">
        <f>'Combined 7yrs'!R15/L$1</f>
        <v>73.998778000000001</v>
      </c>
    </row>
    <row r="11" spans="2:12" x14ac:dyDescent="0.3">
      <c r="C11" t="s">
        <v>99</v>
      </c>
      <c r="D11" s="43">
        <f>'Combined 7yrs'!J16/D$1</f>
        <v>0</v>
      </c>
      <c r="E11" s="43">
        <f>'Combined 7yrs'!K16/E$1</f>
        <v>0</v>
      </c>
      <c r="F11" s="43">
        <f>'Combined 7yrs'!L16/F$1</f>
        <v>11.631360000000001</v>
      </c>
      <c r="G11" s="43">
        <f>'Combined 7yrs'!M16/G$1</f>
        <v>13.55528</v>
      </c>
      <c r="H11" s="43">
        <f>'Combined 7yrs'!N16/H$1</f>
        <v>14.852302999999999</v>
      </c>
      <c r="I11" s="43">
        <f>'Combined 7yrs'!O16/I$1</f>
        <v>15.844916</v>
      </c>
      <c r="J11" s="43">
        <f>'Combined 7yrs'!P16/J$1</f>
        <v>15.756481000000001</v>
      </c>
      <c r="K11" s="43">
        <f>'Combined 7yrs'!Q16/K$1</f>
        <v>17.613658000000001</v>
      </c>
      <c r="L11" s="43">
        <f>'Combined 7yrs'!R16/L$1</f>
        <v>19.363759999999999</v>
      </c>
    </row>
    <row r="12" spans="2:12" x14ac:dyDescent="0.3">
      <c r="C12" t="s">
        <v>101</v>
      </c>
      <c r="D12" s="43">
        <f>'Combined 7yrs'!J31/D$1</f>
        <v>0</v>
      </c>
      <c r="E12" s="43">
        <f>'Combined 7yrs'!K31/E$1</f>
        <v>0</v>
      </c>
      <c r="F12" s="43">
        <f>'Combined 7yrs'!L31/F$1</f>
        <v>5.0968850000000003</v>
      </c>
      <c r="G12" s="43">
        <f>'Combined 7yrs'!M31/G$1</f>
        <v>0.24418200000000001</v>
      </c>
      <c r="H12" s="43">
        <f>'Combined 7yrs'!N31/H$1</f>
        <v>5.7842310000000001</v>
      </c>
      <c r="I12" s="43">
        <f>'Combined 7yrs'!O31/I$1</f>
        <v>6.0984400000000001</v>
      </c>
      <c r="J12" s="43">
        <f>'Combined 7yrs'!P31/J$1</f>
        <v>6.6459020000000004</v>
      </c>
      <c r="K12" s="43">
        <f>'Combined 7yrs'!Q31/K$1</f>
        <v>6.5451569999999997</v>
      </c>
      <c r="L12" s="43">
        <f>'Combined 7yrs'!R31/L$1</f>
        <v>7.6484509999999997</v>
      </c>
    </row>
    <row r="13" spans="2:12" x14ac:dyDescent="0.3">
      <c r="C13" t="s">
        <v>102</v>
      </c>
      <c r="D13" s="43">
        <f>'Combined 7yrs'!J20/D$1</f>
        <v>0</v>
      </c>
      <c r="E13" s="43">
        <f>'Combined 7yrs'!K20/E$1</f>
        <v>0</v>
      </c>
      <c r="F13" s="43">
        <f>'Combined 7yrs'!L20/F$1</f>
        <v>16.719787</v>
      </c>
      <c r="G13" s="43">
        <f>'Combined 7yrs'!M20/G$1</f>
        <v>16.810804999999998</v>
      </c>
      <c r="H13" s="43">
        <f>'Combined 7yrs'!N20/H$1</f>
        <v>18.065918</v>
      </c>
      <c r="I13" s="43">
        <f>'Combined 7yrs'!O20/I$1</f>
        <v>18.665655999999998</v>
      </c>
      <c r="J13" s="43">
        <f>'Combined 7yrs'!P20/J$1</f>
        <v>20.949269000000001</v>
      </c>
      <c r="K13" s="43">
        <f>'Combined 7yrs'!Q20/K$1</f>
        <v>21.564468000000002</v>
      </c>
      <c r="L13" s="43">
        <f>'Combined 7yrs'!R20/L$1</f>
        <v>25.161992000000001</v>
      </c>
    </row>
    <row r="14" spans="2:12" x14ac:dyDescent="0.3">
      <c r="C14" t="s">
        <v>163</v>
      </c>
      <c r="D14" s="43">
        <f>'AFS Summary &amp; Charts 15yrs'!J35</f>
        <v>2.483374</v>
      </c>
      <c r="E14" s="43">
        <f>'AFS Summary &amp; Charts 15yrs'!K35</f>
        <v>3.723735</v>
      </c>
      <c r="F14" s="43">
        <f>'AFS Summary &amp; Charts 15yrs'!L35</f>
        <v>3.3799920000000001</v>
      </c>
      <c r="G14" s="43">
        <f>'AFS Summary &amp; Charts 15yrs'!M35</f>
        <v>4.5788570000000002</v>
      </c>
      <c r="H14" s="43">
        <f>'AFS Summary &amp; Charts 15yrs'!N35</f>
        <v>6.9251180000000003</v>
      </c>
      <c r="I14" s="43">
        <f>'AFS Summary &amp; Charts 15yrs'!O35</f>
        <v>6.4047140000000002</v>
      </c>
      <c r="J14" s="43">
        <f>'AFS Summary &amp; Charts 15yrs'!P35</f>
        <v>5.8481259999999997</v>
      </c>
      <c r="K14" s="43">
        <f>'AFS Summary &amp; Charts 15yrs'!Q35</f>
        <v>6.1809849999999997</v>
      </c>
      <c r="L14" s="43">
        <f>'AFS Summary &amp; Charts 15yrs'!R35</f>
        <v>8.7392610000000008</v>
      </c>
    </row>
    <row r="15" spans="2:12" x14ac:dyDescent="0.3">
      <c r="C15" t="str">
        <f>C21</f>
        <v>Unauthorised, Irregular, Fruitless &amp; Wasteful Expenditure</v>
      </c>
      <c r="D15" s="43">
        <f t="shared" ref="D15:L15" si="1">D21</f>
        <v>0.91997200000000001</v>
      </c>
      <c r="E15" s="43">
        <f t="shared" si="1"/>
        <v>2.078173</v>
      </c>
      <c r="F15" s="43">
        <f t="shared" si="1"/>
        <v>2.1314340000000001</v>
      </c>
      <c r="G15" s="43">
        <f t="shared" si="1"/>
        <v>2.8099759999999998</v>
      </c>
      <c r="H15" s="43">
        <f t="shared" si="1"/>
        <v>3.8552579999999996</v>
      </c>
      <c r="I15" s="43">
        <f t="shared" si="1"/>
        <v>4.1183510000000005</v>
      </c>
      <c r="J15" s="43">
        <f>J21</f>
        <v>4.9805229999999998</v>
      </c>
      <c r="K15" s="43">
        <f>K21</f>
        <v>6.3994829999999991</v>
      </c>
      <c r="L15" s="43">
        <f t="shared" si="1"/>
        <v>12.808615</v>
      </c>
    </row>
    <row r="17" spans="3:12" x14ac:dyDescent="0.3">
      <c r="C17" s="12" t="s">
        <v>513</v>
      </c>
    </row>
    <row r="18" spans="3:12" x14ac:dyDescent="0.3">
      <c r="C18" t="str">
        <f>'Combined 7yrs'!C49</f>
        <v>Unauthorised expenditure</v>
      </c>
      <c r="D18" s="43">
        <f>'Combined 7yrs'!J49/D$1</f>
        <v>7.4409999999999997E-3</v>
      </c>
      <c r="E18" s="43">
        <f>'Combined 7yrs'!K49/E$1</f>
        <v>0.14793100000000001</v>
      </c>
      <c r="F18" s="43">
        <f>'Combined 7yrs'!L49/F$1</f>
        <v>0.43547599999999997</v>
      </c>
      <c r="G18" s="43">
        <f>'Combined 7yrs'!M49/G$1</f>
        <v>0.493867</v>
      </c>
      <c r="H18" s="43">
        <f>'Combined 7yrs'!N49/H$1</f>
        <v>0.68214600000000003</v>
      </c>
      <c r="I18" s="43">
        <f>'Combined 7yrs'!O49/I$1</f>
        <v>1.1995899999999999</v>
      </c>
      <c r="J18" s="43">
        <f>'Combined 7yrs'!P49/J$1</f>
        <v>1.3055779999999999</v>
      </c>
      <c r="K18" s="187">
        <f>'Combined 7yrs'!Q49/K$1</f>
        <v>4.1863130000000002</v>
      </c>
      <c r="L18" s="187">
        <f>'Combined 7yrs'!R49/L$1</f>
        <v>8.9764169999999996</v>
      </c>
    </row>
    <row r="19" spans="3:12" x14ac:dyDescent="0.3">
      <c r="C19" t="str">
        <f>'Combined 7yrs'!C51</f>
        <v>Irregular expenditure</v>
      </c>
      <c r="D19" s="43">
        <f>'Combined 7yrs'!J51/D$1</f>
        <v>0.69258699999999995</v>
      </c>
      <c r="E19" s="43">
        <f>'Combined 7yrs'!K51/E$1</f>
        <v>0.67467299999999997</v>
      </c>
      <c r="F19" s="43">
        <f>'Combined 7yrs'!L51/F$1</f>
        <v>1.6442619999999999</v>
      </c>
      <c r="G19" s="43">
        <f>'Combined 7yrs'!M51/G$1</f>
        <v>2.131507</v>
      </c>
      <c r="H19" s="43">
        <f>'Combined 7yrs'!N51/H$1</f>
        <v>3.1051869999999999</v>
      </c>
      <c r="I19" s="43">
        <f>'Combined 7yrs'!O51/I$1</f>
        <v>2.670906</v>
      </c>
      <c r="J19" s="43">
        <f>'Combined 7yrs'!P51/J$1</f>
        <v>3.1746430000000001</v>
      </c>
      <c r="K19" s="43">
        <f>'Combined 7yrs'!Q51/K$1</f>
        <v>2.0843919999999998</v>
      </c>
      <c r="L19" s="43">
        <f>'Combined 7yrs'!R51/L$1</f>
        <v>3.510097</v>
      </c>
    </row>
    <row r="20" spans="3:12" x14ac:dyDescent="0.3">
      <c r="C20" t="str">
        <f>'Combined 7yrs'!C52</f>
        <v>Fruitless &amp; wasteful expenditure</v>
      </c>
      <c r="D20" s="43">
        <f>'Combined 7yrs'!J52/D$1</f>
        <v>0.219944</v>
      </c>
      <c r="E20" s="43">
        <f>'Combined 7yrs'!K52/E$1</f>
        <v>1.2555689999999999</v>
      </c>
      <c r="F20" s="43">
        <f>'Combined 7yrs'!L52/F$1</f>
        <v>5.1695999999999999E-2</v>
      </c>
      <c r="G20" s="43">
        <f>'Combined 7yrs'!M52/G$1</f>
        <v>0.18460199999999999</v>
      </c>
      <c r="H20" s="43">
        <f>'Combined 7yrs'!N52/H$1</f>
        <v>6.7924999999999999E-2</v>
      </c>
      <c r="I20" s="43">
        <f>'Combined 7yrs'!O52/I$1</f>
        <v>0.24785499999999999</v>
      </c>
      <c r="J20" s="43">
        <f>'Combined 7yrs'!P52/J$1</f>
        <v>0.50030200000000002</v>
      </c>
      <c r="K20" s="43">
        <f>'Combined 7yrs'!Q52/K$1</f>
        <v>0.128778</v>
      </c>
      <c r="L20" s="43">
        <f>'Combined 7yrs'!R52/L$1</f>
        <v>0.32210100000000003</v>
      </c>
    </row>
    <row r="21" spans="3:12" x14ac:dyDescent="0.3">
      <c r="C21" t="s">
        <v>513</v>
      </c>
      <c r="D21" s="46">
        <f>SUM(D18:D20)</f>
        <v>0.91997200000000001</v>
      </c>
      <c r="E21" s="46">
        <f t="shared" ref="E21:L21" si="2">SUM(E18:E20)</f>
        <v>2.078173</v>
      </c>
      <c r="F21" s="46">
        <f t="shared" si="2"/>
        <v>2.1314340000000001</v>
      </c>
      <c r="G21" s="46">
        <f t="shared" si="2"/>
        <v>2.8099759999999998</v>
      </c>
      <c r="H21" s="46">
        <f t="shared" si="2"/>
        <v>3.8552579999999996</v>
      </c>
      <c r="I21" s="46">
        <f t="shared" si="2"/>
        <v>4.1183510000000005</v>
      </c>
      <c r="J21" s="46">
        <f>SUM(J18:J20)</f>
        <v>4.9805229999999998</v>
      </c>
      <c r="K21" s="46">
        <f>SUM(K18:K20)</f>
        <v>6.3994829999999991</v>
      </c>
      <c r="L21" s="46">
        <f t="shared" si="2"/>
        <v>12.808615</v>
      </c>
    </row>
    <row r="27" spans="3:12" x14ac:dyDescent="0.3">
      <c r="J27" s="222" t="s">
        <v>508</v>
      </c>
      <c r="K27" s="222"/>
      <c r="L27" s="222"/>
    </row>
    <row r="28" spans="3:12" x14ac:dyDescent="0.3">
      <c r="J28" s="222"/>
      <c r="K28" s="222"/>
      <c r="L28" s="222"/>
    </row>
    <row r="29" spans="3:12" x14ac:dyDescent="0.3">
      <c r="J29" s="222"/>
      <c r="K29" s="222"/>
      <c r="L29" s="222"/>
    </row>
    <row r="30" spans="3:12" x14ac:dyDescent="0.3">
      <c r="J30" s="222"/>
      <c r="K30" s="222"/>
      <c r="L30" s="222"/>
    </row>
    <row r="31" spans="3:12" x14ac:dyDescent="0.3">
      <c r="J31" s="222"/>
      <c r="K31" s="222"/>
      <c r="L31" s="222"/>
    </row>
    <row r="32" spans="3:12" x14ac:dyDescent="0.3">
      <c r="J32" s="222"/>
      <c r="K32" s="222"/>
      <c r="L32" s="222"/>
    </row>
    <row r="46" spans="10:12" x14ac:dyDescent="0.3">
      <c r="J46" s="222" t="s">
        <v>532</v>
      </c>
      <c r="K46" s="222"/>
      <c r="L46" s="222"/>
    </row>
    <row r="47" spans="10:12" x14ac:dyDescent="0.3">
      <c r="J47" s="222"/>
      <c r="K47" s="222"/>
      <c r="L47" s="222"/>
    </row>
    <row r="48" spans="10:12" ht="14.55" customHeight="1" x14ac:dyDescent="0.3">
      <c r="J48" s="222"/>
      <c r="K48" s="222"/>
      <c r="L48" s="222"/>
    </row>
    <row r="49" spans="2:12" x14ac:dyDescent="0.3">
      <c r="J49" s="222"/>
      <c r="K49" s="222"/>
      <c r="L49" s="222"/>
    </row>
    <row r="50" spans="2:12" x14ac:dyDescent="0.3">
      <c r="J50" s="222"/>
      <c r="K50" s="222"/>
      <c r="L50" s="222"/>
    </row>
    <row r="51" spans="2:12" x14ac:dyDescent="0.3">
      <c r="J51" s="222"/>
      <c r="K51" s="222"/>
      <c r="L51" s="222"/>
    </row>
    <row r="52" spans="2:12" x14ac:dyDescent="0.3">
      <c r="J52" s="222"/>
      <c r="K52" s="222"/>
      <c r="L52" s="222"/>
    </row>
    <row r="55" spans="2:12" x14ac:dyDescent="0.3">
      <c r="C55" s="48"/>
    </row>
    <row r="58" spans="2:12" x14ac:dyDescent="0.3">
      <c r="B58" s="12">
        <v>2</v>
      </c>
    </row>
    <row r="59" spans="2:12" x14ac:dyDescent="0.3">
      <c r="D59" s="42" t="str">
        <f>D9</f>
        <v>2015/16</v>
      </c>
      <c r="E59" s="42" t="str">
        <f t="shared" ref="E59:L59" si="3">E9</f>
        <v>2016/17</v>
      </c>
      <c r="F59" s="42" t="str">
        <f t="shared" si="3"/>
        <v>2017/18</v>
      </c>
      <c r="G59" s="42" t="str">
        <f t="shared" si="3"/>
        <v>2018/19</v>
      </c>
      <c r="H59" s="42" t="str">
        <f t="shared" si="3"/>
        <v>2019/20</v>
      </c>
      <c r="I59" s="42" t="str">
        <f t="shared" si="3"/>
        <v>2020/21</v>
      </c>
      <c r="J59" s="42" t="str">
        <f>J9</f>
        <v>2021/22</v>
      </c>
      <c r="K59" s="42" t="str">
        <f>K9</f>
        <v>2022/23</v>
      </c>
      <c r="L59" s="42" t="str">
        <f t="shared" si="3"/>
        <v>2023/24</v>
      </c>
    </row>
    <row r="60" spans="2:12" x14ac:dyDescent="0.3">
      <c r="C60" t="s">
        <v>99</v>
      </c>
      <c r="D60" s="44">
        <f>'Combined 7yrs'!J117/D$1</f>
        <v>8.9993379999999998</v>
      </c>
      <c r="E60" s="44">
        <f>'Combined 7yrs'!K117/E$1</f>
        <v>10.255081000000001</v>
      </c>
      <c r="F60" s="44">
        <f>'Combined 7yrs'!L117/F$1</f>
        <v>11.631360000000001</v>
      </c>
      <c r="G60" s="44">
        <f>'Combined 7yrs'!M117/G$1</f>
        <v>13.55528</v>
      </c>
      <c r="H60" s="44">
        <f>'Combined 7yrs'!N117/H$1</f>
        <v>14.852302999999999</v>
      </c>
      <c r="I60" s="44">
        <f>'Combined 7yrs'!O117/I$1*0+I11</f>
        <v>15.844916</v>
      </c>
      <c r="J60" s="44">
        <f>'Combined 7yrs'!P117/J$1*0+J11</f>
        <v>15.756481000000001</v>
      </c>
      <c r="K60" s="44">
        <f>'Combined 7yrs'!Q117/K$1*0+K11</f>
        <v>17.613658000000001</v>
      </c>
      <c r="L60" s="44">
        <f>'Combined 7yrs'!R117/L$1*0+L11</f>
        <v>19.363759999999999</v>
      </c>
    </row>
    <row r="61" spans="2:12" x14ac:dyDescent="0.3">
      <c r="C61" t="s">
        <v>103</v>
      </c>
      <c r="D61" s="44">
        <f>'Combined 7yrs'!J120-'Combined 7yrs'!J121</f>
        <v>27966</v>
      </c>
      <c r="E61" s="44">
        <f>'Combined 7yrs'!K120-'Combined 7yrs'!K121</f>
        <v>27965</v>
      </c>
      <c r="F61" s="44">
        <f>'Combined 7yrs'!L120-'Combined 7yrs'!L121</f>
        <v>27472</v>
      </c>
      <c r="G61" s="44">
        <f>'Combined 7yrs'!M120-'Combined 7yrs'!M121</f>
        <v>32546</v>
      </c>
      <c r="H61" s="44">
        <f>'Combined 7yrs'!N120-'Combined 7yrs'!N121</f>
        <v>38024</v>
      </c>
      <c r="I61" s="44">
        <f>'Combined 7yrs'!O120-'Combined 7yrs'!O121</f>
        <v>37609</v>
      </c>
      <c r="J61" s="44">
        <f>'Combined 7yrs'!P120-'Combined 7yrs'!P121</f>
        <v>38309</v>
      </c>
      <c r="K61" s="129">
        <f>'Combined 7yrs'!Q120-'Combined 7yrs'!Q121</f>
        <v>0</v>
      </c>
      <c r="L61" s="129">
        <f>'Combined 7yrs'!R120-'Combined 7yrs'!R121</f>
        <v>0</v>
      </c>
    </row>
    <row r="62" spans="2:12" x14ac:dyDescent="0.3">
      <c r="C62" t="s">
        <v>104</v>
      </c>
      <c r="D62" s="44">
        <f>IFERROR(D60*D$1/D61,0)</f>
        <v>321.79568046914108</v>
      </c>
      <c r="E62" s="44">
        <f t="shared" ref="E62:L62" si="4">IFERROR(E60*E$1/E61,0)</f>
        <v>366.71128195959233</v>
      </c>
      <c r="F62" s="44">
        <f t="shared" si="4"/>
        <v>423.38963308095515</v>
      </c>
      <c r="G62" s="44">
        <f t="shared" si="4"/>
        <v>416.49603637927856</v>
      </c>
      <c r="H62" s="44">
        <f t="shared" si="4"/>
        <v>390.60338207447927</v>
      </c>
      <c r="I62" s="44">
        <f t="shared" si="4"/>
        <v>421.30649578558325</v>
      </c>
      <c r="J62" s="44">
        <f>IFERROR(J60*J$1/J61,0)</f>
        <v>411.29972069226551</v>
      </c>
      <c r="K62" s="129">
        <f>IFERROR(K60*K$1/K61,0)</f>
        <v>0</v>
      </c>
      <c r="L62" s="129">
        <f t="shared" si="4"/>
        <v>0</v>
      </c>
    </row>
  </sheetData>
  <mergeCells count="2">
    <mergeCell ref="J27:L32"/>
    <mergeCell ref="J46:L52"/>
  </mergeCells>
  <hyperlinks>
    <hyperlink ref="C5" r:id="rId1" xr:uid="{1BE8A087-C68F-42C8-AA2A-6C9897B200D8}"/>
    <hyperlink ref="J2" location="Contents!E9" display="Contents!E9" xr:uid="{143792BC-A857-40A0-AB01-ADDCC03621AE}"/>
  </hyperlinks>
  <printOptions headings="1"/>
  <pageMargins left="0.27559055118110237" right="0.23622047244094491" top="0.51181102362204722" bottom="0.31496062992125984" header="0.31496062992125984" footer="0.15748031496062992"/>
  <pageSetup paperSize="9" scale="86" fitToHeight="2" orientation="landscape" r:id="rId2"/>
  <headerFooter>
    <oddFooter>&amp;R&amp;F &amp;A &amp;D P&amp;P</oddFooter>
  </headerFooter>
  <rowBreaks count="1" manualBreakCount="1">
    <brk id="38" max="1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34A62-0681-4B7A-8360-666CB9C8BE63}">
  <sheetPr>
    <pageSetUpPr fitToPage="1"/>
  </sheetPr>
  <dimension ref="A1:M29"/>
  <sheetViews>
    <sheetView showGridLines="0" view="pageBreakPreview" topLeftCell="A10" zoomScale="80" zoomScaleNormal="100" zoomScaleSheetLayoutView="80" workbookViewId="0">
      <selection activeCell="K24" sqref="K24"/>
    </sheetView>
  </sheetViews>
  <sheetFormatPr defaultRowHeight="14.4" x14ac:dyDescent="0.3"/>
  <cols>
    <col min="1" max="2" width="1.5546875" customWidth="1"/>
    <col min="12" max="12" width="2.21875" customWidth="1"/>
  </cols>
  <sheetData>
    <row r="1" spans="13:13" x14ac:dyDescent="0.3">
      <c r="M1" s="160" t="s">
        <v>518</v>
      </c>
    </row>
    <row r="24" spans="1:12" x14ac:dyDescent="0.3">
      <c r="A24" s="159"/>
      <c r="B24" s="159"/>
      <c r="C24" s="159"/>
      <c r="K24" s="159"/>
      <c r="L24" s="159"/>
    </row>
    <row r="25" spans="1:12" x14ac:dyDescent="0.3">
      <c r="A25" s="159"/>
      <c r="B25" s="159"/>
      <c r="C25" s="159"/>
      <c r="K25" s="159"/>
      <c r="L25" s="159"/>
    </row>
    <row r="26" spans="1:12" x14ac:dyDescent="0.3">
      <c r="A26" s="159"/>
      <c r="B26" s="159"/>
      <c r="C26" s="159"/>
      <c r="K26" s="159"/>
      <c r="L26" s="159"/>
    </row>
    <row r="27" spans="1:12" x14ac:dyDescent="0.3">
      <c r="A27" s="159"/>
      <c r="B27" s="159"/>
      <c r="C27" s="159"/>
      <c r="K27" s="159"/>
      <c r="L27" s="159"/>
    </row>
    <row r="28" spans="1:12" x14ac:dyDescent="0.3">
      <c r="A28" s="159"/>
      <c r="B28" s="159"/>
      <c r="C28" s="159"/>
      <c r="K28" s="159"/>
      <c r="L28" s="159"/>
    </row>
    <row r="29" spans="1:12" x14ac:dyDescent="0.3">
      <c r="A29" s="159"/>
      <c r="B29" s="159"/>
      <c r="C29" s="159"/>
      <c r="K29" s="159"/>
      <c r="L29" s="159"/>
    </row>
  </sheetData>
  <hyperlinks>
    <hyperlink ref="M1" location="Contents!E9" display="Contents!E9" xr:uid="{94D5D396-E420-49ED-9338-5A40BF23DA57}"/>
  </hyperlinks>
  <printOptions headings="1"/>
  <pageMargins left="0.70866141732283472" right="0.59055118110236227" top="0.51181102362204722" bottom="0.39370078740157483" header="0.27559055118110237" footer="0.15748031496062992"/>
  <pageSetup paperSize="9" scale="75" orientation="landscape" r:id="rId1"/>
  <headerFooter>
    <oddFooter>&amp;R&amp;F &amp;A &amp;D P&amp;P/&amp;N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3D9E0-778C-4A90-BE9A-6DFC1D74663D}">
  <sheetPr>
    <pageSetUpPr fitToPage="1"/>
  </sheetPr>
  <dimension ref="C1:AJ77"/>
  <sheetViews>
    <sheetView view="pageBreakPreview" zoomScale="80" zoomScaleNormal="100" zoomScaleSheetLayoutView="80" workbookViewId="0">
      <selection activeCell="F5" sqref="F5"/>
    </sheetView>
  </sheetViews>
  <sheetFormatPr defaultRowHeight="14.4" x14ac:dyDescent="0.3"/>
  <cols>
    <col min="1" max="1" width="2.5546875" customWidth="1"/>
    <col min="2" max="2" width="2.44140625" customWidth="1"/>
    <col min="4" max="4" width="10.88671875" customWidth="1"/>
    <col min="5" max="5" width="9.77734375" bestFit="1" customWidth="1"/>
    <col min="6" max="6" width="9.5546875" customWidth="1"/>
    <col min="7" max="7" width="9.44140625" customWidth="1"/>
    <col min="9" max="9" width="7.21875" bestFit="1" customWidth="1"/>
    <col min="10" max="10" width="9" bestFit="1" customWidth="1"/>
    <col min="11" max="11" width="7.33203125" bestFit="1" customWidth="1"/>
    <col min="12" max="12" width="9.21875" bestFit="1" customWidth="1"/>
    <col min="13" max="13" width="10.77734375" bestFit="1" customWidth="1"/>
    <col min="14" max="14" width="3.6640625" customWidth="1"/>
    <col min="15" max="15" width="31.44140625" customWidth="1"/>
  </cols>
  <sheetData>
    <row r="1" spans="3:36" ht="18" x14ac:dyDescent="0.35">
      <c r="C1" s="78" t="s">
        <v>234</v>
      </c>
      <c r="AJ1" t="s">
        <v>581</v>
      </c>
    </row>
    <row r="2" spans="3:36" ht="18" x14ac:dyDescent="0.35">
      <c r="C2" s="78" t="s">
        <v>577</v>
      </c>
    </row>
    <row r="3" spans="3:36" ht="18" x14ac:dyDescent="0.35">
      <c r="C3" s="78" t="s">
        <v>579</v>
      </c>
      <c r="F3" s="11" t="s">
        <v>578</v>
      </c>
      <c r="O3" s="160" t="s">
        <v>518</v>
      </c>
    </row>
    <row r="6" spans="3:36" x14ac:dyDescent="0.3">
      <c r="C6" s="12" t="s">
        <v>576</v>
      </c>
    </row>
    <row r="8" spans="3:36" ht="19.8" x14ac:dyDescent="0.3">
      <c r="C8" s="197" t="s">
        <v>541</v>
      </c>
    </row>
    <row r="9" spans="3:36" ht="15" thickBot="1" x14ac:dyDescent="0.35">
      <c r="C9" s="192"/>
      <c r="I9" s="206" t="s">
        <v>547</v>
      </c>
      <c r="J9" s="207"/>
      <c r="K9" s="207"/>
      <c r="L9" s="207"/>
      <c r="M9" s="208"/>
    </row>
    <row r="10" spans="3:36" ht="29.4" thickBot="1" x14ac:dyDescent="0.35">
      <c r="C10" s="202" t="s">
        <v>539</v>
      </c>
      <c r="D10" s="203" t="s">
        <v>540</v>
      </c>
      <c r="E10" s="203" t="s">
        <v>542</v>
      </c>
      <c r="F10" s="203" t="s">
        <v>543</v>
      </c>
      <c r="G10" s="203" t="s">
        <v>544</v>
      </c>
      <c r="I10" s="209" t="s">
        <v>539</v>
      </c>
      <c r="J10" s="209" t="str">
        <f>D10</f>
        <v>South Africa</v>
      </c>
      <c r="K10" s="209" t="str">
        <f>E10</f>
        <v>Ø EU</v>
      </c>
      <c r="L10" s="209" t="str">
        <f>F10</f>
        <v>Ø USA</v>
      </c>
      <c r="M10" s="209" t="str">
        <f>G10</f>
        <v>Ø World</v>
      </c>
    </row>
    <row r="11" spans="3:36" ht="15" thickBot="1" x14ac:dyDescent="0.35">
      <c r="C11" s="193">
        <v>2024</v>
      </c>
      <c r="D11" s="194">
        <v>4.7E-2</v>
      </c>
      <c r="E11" s="194">
        <v>2.5999999999999999E-2</v>
      </c>
      <c r="F11" s="194">
        <v>0.03</v>
      </c>
      <c r="G11" s="194">
        <v>5.8000000000000003E-2</v>
      </c>
      <c r="I11" s="204">
        <v>2024</v>
      </c>
      <c r="J11" s="190">
        <f t="shared" ref="J11:J25" si="0">J12*(1+D11)</f>
        <v>2.1156284314341378</v>
      </c>
      <c r="K11" s="190">
        <f t="shared" ref="K11:K25" si="1">K12*(1+E11)</f>
        <v>1.4202982623586464</v>
      </c>
      <c r="L11" s="190">
        <f t="shared" ref="L11:L25" si="2">L12*(1+F11)</f>
        <v>1.4604737951700359</v>
      </c>
      <c r="M11" s="190">
        <f t="shared" ref="M11:M25" si="3">M12*(1+G11)</f>
        <v>1.8682553528304702</v>
      </c>
    </row>
    <row r="12" spans="3:36" ht="15" thickBot="1" x14ac:dyDescent="0.35">
      <c r="C12" s="193">
        <v>2023</v>
      </c>
      <c r="D12" s="194">
        <v>5.8999999999999997E-2</v>
      </c>
      <c r="E12" s="194">
        <v>6.3E-2</v>
      </c>
      <c r="F12" s="194">
        <v>4.1000000000000002E-2</v>
      </c>
      <c r="G12" s="194">
        <v>6.7000000000000004E-2</v>
      </c>
      <c r="I12" s="205">
        <v>2023</v>
      </c>
      <c r="J12" s="190">
        <f t="shared" si="0"/>
        <v>2.0206575276352798</v>
      </c>
      <c r="K12" s="190">
        <f t="shared" si="1"/>
        <v>1.384306298595172</v>
      </c>
      <c r="L12" s="190">
        <f t="shared" si="2"/>
        <v>1.4179357234660543</v>
      </c>
      <c r="M12" s="190">
        <f t="shared" si="3"/>
        <v>1.765836817420104</v>
      </c>
    </row>
    <row r="13" spans="3:36" ht="15" thickBot="1" x14ac:dyDescent="0.35">
      <c r="C13" s="193">
        <v>2022</v>
      </c>
      <c r="D13" s="194">
        <v>6.9000000000000006E-2</v>
      </c>
      <c r="E13" s="194">
        <v>9.2999999999999999E-2</v>
      </c>
      <c r="F13" s="194">
        <v>0.08</v>
      </c>
      <c r="G13" s="194">
        <v>8.5999999999999993E-2</v>
      </c>
      <c r="I13" s="205">
        <v>2022</v>
      </c>
      <c r="J13" s="190">
        <f t="shared" si="0"/>
        <v>1.9080807626395468</v>
      </c>
      <c r="K13" s="190">
        <f t="shared" si="1"/>
        <v>1.3022636863548185</v>
      </c>
      <c r="L13" s="190">
        <f t="shared" si="2"/>
        <v>1.362090032147987</v>
      </c>
      <c r="M13" s="190">
        <f t="shared" si="3"/>
        <v>1.6549548429429279</v>
      </c>
    </row>
    <row r="14" spans="3:36" ht="15" thickBot="1" x14ac:dyDescent="0.35">
      <c r="C14" s="193">
        <v>2021</v>
      </c>
      <c r="D14" s="194">
        <v>4.5999999999999999E-2</v>
      </c>
      <c r="E14" s="194">
        <v>2.9000000000000001E-2</v>
      </c>
      <c r="F14" s="194">
        <v>4.7E-2</v>
      </c>
      <c r="G14" s="194">
        <v>4.7E-2</v>
      </c>
      <c r="I14" s="205">
        <v>2021</v>
      </c>
      <c r="J14" s="190">
        <f t="shared" si="0"/>
        <v>1.7849211998499035</v>
      </c>
      <c r="K14" s="190">
        <f t="shared" si="1"/>
        <v>1.1914580844966318</v>
      </c>
      <c r="L14" s="190">
        <f t="shared" si="2"/>
        <v>1.261194474211099</v>
      </c>
      <c r="M14" s="190">
        <f t="shared" si="3"/>
        <v>1.5238994870561029</v>
      </c>
    </row>
    <row r="15" spans="3:36" ht="15" thickBot="1" x14ac:dyDescent="0.35">
      <c r="C15" s="193">
        <v>2020</v>
      </c>
      <c r="D15" s="194">
        <v>3.3000000000000002E-2</v>
      </c>
      <c r="E15" s="194">
        <v>7.0000000000000001E-3</v>
      </c>
      <c r="F15" s="194">
        <v>1.2E-2</v>
      </c>
      <c r="G15" s="194">
        <v>3.3000000000000002E-2</v>
      </c>
      <c r="I15" s="205">
        <v>2020</v>
      </c>
      <c r="J15" s="190">
        <f t="shared" si="0"/>
        <v>1.7064256212714182</v>
      </c>
      <c r="K15" s="190">
        <f t="shared" si="1"/>
        <v>1.1578795767702934</v>
      </c>
      <c r="L15" s="190">
        <f t="shared" si="2"/>
        <v>1.2045792494852905</v>
      </c>
      <c r="M15" s="190">
        <f t="shared" si="3"/>
        <v>1.4554913916486178</v>
      </c>
      <c r="O15" s="198" t="s">
        <v>539</v>
      </c>
      <c r="P15" s="193">
        <v>2009</v>
      </c>
      <c r="Q15" s="193">
        <v>2010</v>
      </c>
      <c r="R15" s="193">
        <v>2011</v>
      </c>
      <c r="S15" s="193">
        <v>2012</v>
      </c>
      <c r="T15" s="193">
        <v>2013</v>
      </c>
      <c r="U15" s="193">
        <v>2014</v>
      </c>
      <c r="V15" s="193">
        <v>2015</v>
      </c>
      <c r="W15" s="193">
        <v>2016</v>
      </c>
      <c r="X15" s="193">
        <v>2017</v>
      </c>
      <c r="Y15" s="193">
        <v>2018</v>
      </c>
      <c r="Z15" s="193">
        <v>2019</v>
      </c>
      <c r="AA15" s="193">
        <v>2020</v>
      </c>
      <c r="AB15" s="193">
        <v>2021</v>
      </c>
      <c r="AC15" s="193">
        <v>2022</v>
      </c>
      <c r="AD15" s="193">
        <v>2023</v>
      </c>
      <c r="AE15" s="193">
        <v>2024</v>
      </c>
    </row>
    <row r="16" spans="3:36" ht="15" thickBot="1" x14ac:dyDescent="0.35">
      <c r="C16" s="193">
        <v>2019</v>
      </c>
      <c r="D16" s="194">
        <v>4.1000000000000002E-2</v>
      </c>
      <c r="E16" s="194">
        <v>1.4E-2</v>
      </c>
      <c r="F16" s="194">
        <v>1.7999999999999999E-2</v>
      </c>
      <c r="G16" s="194">
        <v>3.5000000000000003E-2</v>
      </c>
      <c r="I16" s="205">
        <v>2019</v>
      </c>
      <c r="J16" s="190">
        <f t="shared" si="0"/>
        <v>1.6519125084912085</v>
      </c>
      <c r="K16" s="190">
        <f t="shared" si="1"/>
        <v>1.1498307614402121</v>
      </c>
      <c r="L16" s="190">
        <f t="shared" si="2"/>
        <v>1.1902957010724213</v>
      </c>
      <c r="M16" s="190">
        <f t="shared" si="3"/>
        <v>1.4089945708118277</v>
      </c>
      <c r="O16" s="198" t="s">
        <v>546</v>
      </c>
      <c r="Q16" s="191">
        <v>4.2000000000000003E-2</v>
      </c>
      <c r="R16" s="191">
        <v>0.05</v>
      </c>
      <c r="S16" s="191">
        <v>5.6000000000000001E-2</v>
      </c>
      <c r="T16" s="191">
        <v>5.7000000000000002E-2</v>
      </c>
      <c r="U16" s="191">
        <v>6.0999999999999999E-2</v>
      </c>
      <c r="V16" s="191">
        <v>4.5999999999999999E-2</v>
      </c>
      <c r="W16" s="191">
        <v>6.3E-2</v>
      </c>
      <c r="X16" s="191">
        <v>5.2999999999999999E-2</v>
      </c>
      <c r="Y16" s="191">
        <v>4.5999999999999999E-2</v>
      </c>
      <c r="Z16" s="191">
        <v>4.1000000000000002E-2</v>
      </c>
      <c r="AA16" s="191">
        <v>3.3000000000000002E-2</v>
      </c>
      <c r="AB16" s="191">
        <v>4.5999999999999999E-2</v>
      </c>
      <c r="AC16" s="191">
        <v>6.9000000000000006E-2</v>
      </c>
      <c r="AD16" s="191">
        <v>5.8999999999999997E-2</v>
      </c>
      <c r="AE16" s="191">
        <v>4.7E-2</v>
      </c>
    </row>
    <row r="17" spans="3:31" ht="15" thickBot="1" x14ac:dyDescent="0.35">
      <c r="C17" s="193">
        <v>2018</v>
      </c>
      <c r="D17" s="194">
        <v>4.5999999999999999E-2</v>
      </c>
      <c r="E17" s="194">
        <v>1.9E-2</v>
      </c>
      <c r="F17" s="194">
        <v>2.4E-2</v>
      </c>
      <c r="G17" s="194">
        <v>3.5999999999999997E-2</v>
      </c>
      <c r="I17" s="205">
        <v>2018</v>
      </c>
      <c r="J17" s="190">
        <f t="shared" si="0"/>
        <v>1.58685159317119</v>
      </c>
      <c r="K17" s="190">
        <f t="shared" si="1"/>
        <v>1.1339553860357121</v>
      </c>
      <c r="L17" s="190">
        <f t="shared" si="2"/>
        <v>1.1692492151988421</v>
      </c>
      <c r="M17" s="190">
        <f t="shared" si="3"/>
        <v>1.361347411412394</v>
      </c>
      <c r="O17" s="198" t="s">
        <v>547</v>
      </c>
      <c r="P17" s="190">
        <v>1</v>
      </c>
      <c r="Q17" s="190">
        <f t="shared" ref="Q17:AE17" si="4">P17*(1+Q16)</f>
        <v>1.042</v>
      </c>
      <c r="R17" s="190">
        <f t="shared" si="4"/>
        <v>1.0941000000000001</v>
      </c>
      <c r="S17" s="190">
        <f t="shared" si="4"/>
        <v>1.1553696000000002</v>
      </c>
      <c r="T17" s="190">
        <f t="shared" si="4"/>
        <v>1.2212256672000001</v>
      </c>
      <c r="U17" s="190">
        <f t="shared" si="4"/>
        <v>1.2957204328992</v>
      </c>
      <c r="V17" s="190">
        <f t="shared" si="4"/>
        <v>1.3553235728125632</v>
      </c>
      <c r="W17" s="190">
        <f t="shared" si="4"/>
        <v>1.4407089578997547</v>
      </c>
      <c r="X17" s="190">
        <f t="shared" si="4"/>
        <v>1.5170665326684416</v>
      </c>
      <c r="Y17" s="190">
        <f t="shared" si="4"/>
        <v>1.58685159317119</v>
      </c>
      <c r="Z17" s="190">
        <f t="shared" si="4"/>
        <v>1.6519125084912085</v>
      </c>
      <c r="AA17" s="190">
        <f t="shared" si="4"/>
        <v>1.7064256212714182</v>
      </c>
      <c r="AB17" s="190">
        <f t="shared" si="4"/>
        <v>1.7849211998499035</v>
      </c>
      <c r="AC17" s="190">
        <f t="shared" si="4"/>
        <v>1.9080807626395468</v>
      </c>
      <c r="AD17" s="190">
        <f t="shared" si="4"/>
        <v>2.0206575276352798</v>
      </c>
      <c r="AE17" s="190">
        <f t="shared" si="4"/>
        <v>2.1156284314341378</v>
      </c>
    </row>
    <row r="18" spans="3:31" ht="15" thickBot="1" x14ac:dyDescent="0.35">
      <c r="C18" s="193">
        <v>2017</v>
      </c>
      <c r="D18" s="194">
        <v>5.2999999999999999E-2</v>
      </c>
      <c r="E18" s="194">
        <v>1.6E-2</v>
      </c>
      <c r="F18" s="194">
        <v>2.1000000000000001E-2</v>
      </c>
      <c r="G18" s="194">
        <v>3.2000000000000001E-2</v>
      </c>
      <c r="I18" s="205">
        <v>2017</v>
      </c>
      <c r="J18" s="190">
        <f t="shared" si="0"/>
        <v>1.5170665326684416</v>
      </c>
      <c r="K18" s="190">
        <f t="shared" si="1"/>
        <v>1.1128119588181671</v>
      </c>
      <c r="L18" s="190">
        <f t="shared" si="2"/>
        <v>1.1418449367176191</v>
      </c>
      <c r="M18" s="190">
        <f t="shared" si="3"/>
        <v>1.3140419029077162</v>
      </c>
    </row>
    <row r="19" spans="3:31" ht="15" thickBot="1" x14ac:dyDescent="0.35">
      <c r="C19" s="193">
        <v>2016</v>
      </c>
      <c r="D19" s="194">
        <v>6.3E-2</v>
      </c>
      <c r="E19" s="194">
        <v>1E-3</v>
      </c>
      <c r="F19" s="194">
        <v>1.2999999999999999E-2</v>
      </c>
      <c r="G19" s="194">
        <v>2.7E-2</v>
      </c>
      <c r="I19" s="205">
        <v>2016</v>
      </c>
      <c r="J19" s="190">
        <f t="shared" si="0"/>
        <v>1.4407089578997547</v>
      </c>
      <c r="K19" s="190">
        <f t="shared" si="1"/>
        <v>1.095287361041503</v>
      </c>
      <c r="L19" s="190">
        <f t="shared" si="2"/>
        <v>1.1183593895373352</v>
      </c>
      <c r="M19" s="190">
        <f t="shared" si="3"/>
        <v>1.2732964175462365</v>
      </c>
    </row>
    <row r="20" spans="3:31" ht="15" thickBot="1" x14ac:dyDescent="0.35">
      <c r="C20" s="193">
        <v>2015</v>
      </c>
      <c r="D20" s="194">
        <v>4.5999999999999999E-2</v>
      </c>
      <c r="E20" s="194">
        <v>1E-3</v>
      </c>
      <c r="F20" s="194">
        <v>1E-3</v>
      </c>
      <c r="G20" s="194">
        <v>2.7E-2</v>
      </c>
      <c r="I20" s="205">
        <v>2015</v>
      </c>
      <c r="J20" s="190">
        <f t="shared" si="0"/>
        <v>1.3553235728125632</v>
      </c>
      <c r="K20" s="190">
        <f t="shared" si="1"/>
        <v>1.0941931678736296</v>
      </c>
      <c r="L20" s="190">
        <f t="shared" si="2"/>
        <v>1.1040072947061552</v>
      </c>
      <c r="M20" s="190">
        <f t="shared" si="3"/>
        <v>1.2398212439593346</v>
      </c>
    </row>
    <row r="21" spans="3:31" ht="15" thickBot="1" x14ac:dyDescent="0.35">
      <c r="C21" s="193">
        <v>2014</v>
      </c>
      <c r="D21" s="194">
        <v>6.0999999999999999E-2</v>
      </c>
      <c r="E21" s="194">
        <v>4.0000000000000001E-3</v>
      </c>
      <c r="F21" s="194">
        <v>1.6E-2</v>
      </c>
      <c r="G21" s="194">
        <v>3.2000000000000001E-2</v>
      </c>
      <c r="I21" s="205">
        <v>2014</v>
      </c>
      <c r="J21" s="190">
        <f t="shared" si="0"/>
        <v>1.2957204328992</v>
      </c>
      <c r="K21" s="190">
        <f t="shared" si="1"/>
        <v>1.093100067805824</v>
      </c>
      <c r="L21" s="190">
        <f t="shared" si="2"/>
        <v>1.1029043903158395</v>
      </c>
      <c r="M21" s="190">
        <f t="shared" si="3"/>
        <v>1.2072261382272003</v>
      </c>
    </row>
    <row r="22" spans="3:31" ht="15" thickBot="1" x14ac:dyDescent="0.35">
      <c r="C22" s="193">
        <v>2013</v>
      </c>
      <c r="D22" s="194">
        <v>5.7000000000000002E-2</v>
      </c>
      <c r="E22" s="194">
        <v>1.4E-2</v>
      </c>
      <c r="F22" s="194">
        <v>1.4999999999999999E-2</v>
      </c>
      <c r="G22" s="194">
        <v>3.5000000000000003E-2</v>
      </c>
      <c r="I22" s="205">
        <v>2013</v>
      </c>
      <c r="J22" s="190">
        <f t="shared" si="0"/>
        <v>1.2212256672000001</v>
      </c>
      <c r="K22" s="190">
        <f t="shared" si="1"/>
        <v>1.0887450874560001</v>
      </c>
      <c r="L22" s="190">
        <f t="shared" si="2"/>
        <v>1.0855358172399996</v>
      </c>
      <c r="M22" s="190">
        <f t="shared" si="3"/>
        <v>1.1697927696000001</v>
      </c>
    </row>
    <row r="23" spans="3:31" ht="15" thickBot="1" x14ac:dyDescent="0.35">
      <c r="C23" s="193">
        <v>2012</v>
      </c>
      <c r="D23" s="194">
        <v>5.6000000000000001E-2</v>
      </c>
      <c r="E23" s="194">
        <v>2.5999999999999999E-2</v>
      </c>
      <c r="F23" s="194">
        <v>2.1000000000000001E-2</v>
      </c>
      <c r="G23" s="194">
        <v>0.04</v>
      </c>
      <c r="I23" s="205">
        <v>2012</v>
      </c>
      <c r="J23" s="190">
        <f t="shared" si="0"/>
        <v>1.1553696000000002</v>
      </c>
      <c r="K23" s="190">
        <f t="shared" si="1"/>
        <v>1.0737131040000001</v>
      </c>
      <c r="L23" s="190">
        <f t="shared" si="2"/>
        <v>1.0694934159999998</v>
      </c>
      <c r="M23" s="190">
        <f t="shared" si="3"/>
        <v>1.1302345600000001</v>
      </c>
    </row>
    <row r="24" spans="3:31" ht="15" thickBot="1" x14ac:dyDescent="0.35">
      <c r="C24" s="193">
        <v>2011</v>
      </c>
      <c r="D24" s="194">
        <v>0.05</v>
      </c>
      <c r="E24" s="194">
        <v>2.8000000000000001E-2</v>
      </c>
      <c r="F24" s="194">
        <v>3.1E-2</v>
      </c>
      <c r="G24" s="194">
        <v>4.9000000000000002E-2</v>
      </c>
      <c r="I24" s="205">
        <v>2011</v>
      </c>
      <c r="J24" s="190">
        <f t="shared" si="0"/>
        <v>1.0941000000000001</v>
      </c>
      <c r="K24" s="190">
        <f t="shared" si="1"/>
        <v>1.0465040000000001</v>
      </c>
      <c r="L24" s="190">
        <f t="shared" si="2"/>
        <v>1.047496</v>
      </c>
      <c r="M24" s="190">
        <f t="shared" si="3"/>
        <v>1.0867640000000001</v>
      </c>
    </row>
    <row r="25" spans="3:31" ht="15" thickBot="1" x14ac:dyDescent="0.35">
      <c r="C25" s="193">
        <v>2010</v>
      </c>
      <c r="D25" s="194">
        <v>4.2000000000000003E-2</v>
      </c>
      <c r="E25" s="194">
        <v>1.7999999999999999E-2</v>
      </c>
      <c r="F25" s="194">
        <v>1.6E-2</v>
      </c>
      <c r="G25" s="194">
        <v>3.5999999999999997E-2</v>
      </c>
      <c r="I25" s="205">
        <v>2010</v>
      </c>
      <c r="J25" s="190">
        <f t="shared" si="0"/>
        <v>1.042</v>
      </c>
      <c r="K25" s="190">
        <f t="shared" si="1"/>
        <v>1.018</v>
      </c>
      <c r="L25" s="190">
        <f t="shared" si="2"/>
        <v>1.016</v>
      </c>
      <c r="M25" s="190">
        <f t="shared" si="3"/>
        <v>1.036</v>
      </c>
    </row>
    <row r="26" spans="3:31" ht="15" thickBot="1" x14ac:dyDescent="0.35">
      <c r="C26" s="193">
        <v>2009</v>
      </c>
      <c r="D26" s="194">
        <v>7.1999999999999995E-2</v>
      </c>
      <c r="E26" s="194">
        <v>8.0000000000000002E-3</v>
      </c>
      <c r="F26" s="194">
        <v>-3.0000000000000001E-3</v>
      </c>
      <c r="G26" s="194">
        <v>2.5999999999999999E-2</v>
      </c>
      <c r="I26" s="205">
        <v>2009</v>
      </c>
      <c r="J26" s="190">
        <v>1</v>
      </c>
      <c r="K26" s="190">
        <v>1</v>
      </c>
      <c r="L26" s="190">
        <v>1</v>
      </c>
      <c r="M26" s="190">
        <v>1</v>
      </c>
    </row>
    <row r="27" spans="3:31" ht="15" thickBot="1" x14ac:dyDescent="0.35">
      <c r="C27" s="193">
        <v>2008</v>
      </c>
      <c r="D27" s="194">
        <v>0.11</v>
      </c>
      <c r="E27" s="194">
        <v>3.6999999999999998E-2</v>
      </c>
      <c r="F27" s="194">
        <v>3.7999999999999999E-2</v>
      </c>
      <c r="G27" s="194">
        <v>6.3E-2</v>
      </c>
    </row>
    <row r="28" spans="3:31" ht="15" thickBot="1" x14ac:dyDescent="0.35">
      <c r="C28" s="193">
        <v>2007</v>
      </c>
      <c r="D28" s="194">
        <v>7.0999999999999994E-2</v>
      </c>
      <c r="E28" s="194">
        <v>2.4E-2</v>
      </c>
      <c r="F28" s="194">
        <v>2.9000000000000001E-2</v>
      </c>
      <c r="G28" s="194">
        <v>4.1000000000000002E-2</v>
      </c>
    </row>
    <row r="29" spans="3:31" ht="15" thickBot="1" x14ac:dyDescent="0.35">
      <c r="C29" s="193">
        <v>2006</v>
      </c>
      <c r="D29" s="194">
        <v>4.7E-2</v>
      </c>
      <c r="E29" s="194">
        <v>2.4E-2</v>
      </c>
      <c r="F29" s="194">
        <v>3.2000000000000001E-2</v>
      </c>
      <c r="G29" s="194">
        <v>3.9E-2</v>
      </c>
    </row>
    <row r="30" spans="3:31" ht="15" thickBot="1" x14ac:dyDescent="0.35">
      <c r="C30" s="193">
        <v>2005</v>
      </c>
      <c r="D30" s="194">
        <v>3.4000000000000002E-2</v>
      </c>
      <c r="E30" s="194">
        <v>2.4E-2</v>
      </c>
      <c r="F30" s="194">
        <v>3.4000000000000002E-2</v>
      </c>
      <c r="G30" s="194">
        <v>3.9E-2</v>
      </c>
    </row>
    <row r="31" spans="3:31" ht="15" thickBot="1" x14ac:dyDescent="0.35">
      <c r="C31" s="193">
        <v>2004</v>
      </c>
      <c r="D31" s="194">
        <v>1.4E-2</v>
      </c>
      <c r="E31" s="194">
        <v>2.5000000000000001E-2</v>
      </c>
      <c r="F31" s="194">
        <v>2.7E-2</v>
      </c>
      <c r="G31" s="194">
        <v>3.7999999999999999E-2</v>
      </c>
    </row>
    <row r="32" spans="3:31" ht="15" thickBot="1" x14ac:dyDescent="0.35">
      <c r="C32" s="193">
        <v>2003</v>
      </c>
      <c r="D32" s="194">
        <v>5.8999999999999997E-2</v>
      </c>
      <c r="E32" s="194">
        <v>2.4E-2</v>
      </c>
      <c r="F32" s="194">
        <v>2.3E-2</v>
      </c>
      <c r="G32" s="194">
        <v>3.9E-2</v>
      </c>
    </row>
    <row r="33" spans="3:7" ht="15" thickBot="1" x14ac:dyDescent="0.35">
      <c r="C33" s="193">
        <v>2002</v>
      </c>
      <c r="D33" s="194">
        <v>0.09</v>
      </c>
      <c r="E33" s="194">
        <v>2.8000000000000001E-2</v>
      </c>
      <c r="F33" s="194">
        <v>1.6E-2</v>
      </c>
      <c r="G33" s="194">
        <v>3.6999999999999998E-2</v>
      </c>
    </row>
    <row r="34" spans="3:7" ht="15" thickBot="1" x14ac:dyDescent="0.35">
      <c r="C34" s="193">
        <v>2001</v>
      </c>
      <c r="D34" s="194">
        <v>5.7000000000000002E-2</v>
      </c>
      <c r="E34" s="194">
        <v>3.4000000000000002E-2</v>
      </c>
      <c r="F34" s="194">
        <v>2.8000000000000001E-2</v>
      </c>
      <c r="G34" s="194">
        <v>4.5999999999999999E-2</v>
      </c>
    </row>
    <row r="35" spans="3:7" ht="15" thickBot="1" x14ac:dyDescent="0.35">
      <c r="C35" s="193">
        <v>2000</v>
      </c>
      <c r="D35" s="194">
        <v>5.2999999999999999E-2</v>
      </c>
      <c r="E35" s="194">
        <v>3.5999999999999997E-2</v>
      </c>
      <c r="F35" s="194">
        <v>3.4000000000000002E-2</v>
      </c>
      <c r="G35" s="194">
        <v>0.05</v>
      </c>
    </row>
    <row r="36" spans="3:7" ht="15" thickBot="1" x14ac:dyDescent="0.35">
      <c r="C36" s="193">
        <v>1999</v>
      </c>
      <c r="D36" s="194">
        <v>5.0999999999999997E-2</v>
      </c>
      <c r="E36" s="194">
        <v>2.5000000000000001E-2</v>
      </c>
      <c r="F36" s="194">
        <v>2.1999999999999999E-2</v>
      </c>
      <c r="G36" s="194">
        <v>6.2E-2</v>
      </c>
    </row>
    <row r="37" spans="3:7" ht="15" thickBot="1" x14ac:dyDescent="0.35">
      <c r="C37" s="193">
        <v>1998</v>
      </c>
      <c r="D37" s="194">
        <v>7.0000000000000007E-2</v>
      </c>
      <c r="E37" s="194">
        <v>3.4000000000000002E-2</v>
      </c>
      <c r="F37" s="194">
        <v>1.4999999999999999E-2</v>
      </c>
      <c r="G37" s="194">
        <v>6.3E-2</v>
      </c>
    </row>
    <row r="38" spans="3:7" ht="15" thickBot="1" x14ac:dyDescent="0.35">
      <c r="C38" s="193">
        <v>1997</v>
      </c>
      <c r="D38" s="194">
        <v>8.5999999999999993E-2</v>
      </c>
      <c r="E38" s="194">
        <v>0.126</v>
      </c>
      <c r="F38" s="194">
        <v>2.3E-2</v>
      </c>
      <c r="G38" s="194">
        <v>6.6000000000000003E-2</v>
      </c>
    </row>
    <row r="39" spans="3:7" ht="15" thickBot="1" x14ac:dyDescent="0.35">
      <c r="C39" s="193">
        <v>1996</v>
      </c>
      <c r="D39" s="194">
        <v>7.2999999999999995E-2</v>
      </c>
      <c r="E39" s="194">
        <v>5.3999999999999999E-2</v>
      </c>
      <c r="F39" s="194">
        <v>2.9000000000000001E-2</v>
      </c>
      <c r="G39" s="194">
        <v>9.5000000000000001E-2</v>
      </c>
    </row>
    <row r="40" spans="3:7" ht="15" thickBot="1" x14ac:dyDescent="0.35">
      <c r="C40" s="193">
        <v>1995</v>
      </c>
      <c r="D40" s="194">
        <v>8.7999999999999995E-2</v>
      </c>
      <c r="E40" s="194">
        <v>5.5E-2</v>
      </c>
      <c r="F40" s="194">
        <v>2.8000000000000001E-2</v>
      </c>
      <c r="G40" s="194">
        <v>0.16200000000000001</v>
      </c>
    </row>
    <row r="41" spans="3:7" ht="15" thickBot="1" x14ac:dyDescent="0.35">
      <c r="C41" s="193">
        <v>1994</v>
      </c>
      <c r="D41" s="194">
        <v>8.7999999999999995E-2</v>
      </c>
      <c r="E41" s="194">
        <v>8.4000000000000005E-2</v>
      </c>
      <c r="F41" s="194">
        <v>2.5999999999999999E-2</v>
      </c>
      <c r="G41" s="194">
        <v>0.308</v>
      </c>
    </row>
    <row r="42" spans="3:7" ht="15" thickBot="1" x14ac:dyDescent="0.35">
      <c r="C42" s="193">
        <v>1993</v>
      </c>
      <c r="D42" s="194">
        <v>9.7000000000000003E-2</v>
      </c>
      <c r="E42" s="194">
        <v>0.11799999999999999</v>
      </c>
      <c r="F42" s="194">
        <v>0.03</v>
      </c>
      <c r="G42" s="194">
        <v>0.39800000000000002</v>
      </c>
    </row>
    <row r="43" spans="3:7" ht="15" thickBot="1" x14ac:dyDescent="0.35">
      <c r="C43" s="193">
        <v>1992</v>
      </c>
      <c r="D43" s="194">
        <v>0.14000000000000001</v>
      </c>
      <c r="E43" s="194">
        <v>0.114</v>
      </c>
      <c r="F43" s="194">
        <v>0.03</v>
      </c>
      <c r="G43" s="194">
        <v>0.39300000000000002</v>
      </c>
    </row>
    <row r="44" spans="3:7" ht="15" thickBot="1" x14ac:dyDescent="0.35">
      <c r="C44" s="193">
        <v>1991</v>
      </c>
      <c r="D44" s="194">
        <v>0.152</v>
      </c>
      <c r="E44" s="194">
        <v>0.14799999999999999</v>
      </c>
      <c r="F44" s="194">
        <v>4.2000000000000003E-2</v>
      </c>
      <c r="G44" s="194">
        <v>0.16900000000000001</v>
      </c>
    </row>
    <row r="45" spans="3:7" ht="15" thickBot="1" x14ac:dyDescent="0.35">
      <c r="C45" s="193">
        <v>1990</v>
      </c>
      <c r="D45" s="194">
        <v>0.14399999999999999</v>
      </c>
      <c r="E45" s="194">
        <v>0.3</v>
      </c>
      <c r="F45" s="194">
        <v>5.3999999999999999E-2</v>
      </c>
      <c r="G45" s="194">
        <v>0.254</v>
      </c>
    </row>
    <row r="46" spans="3:7" ht="15" thickBot="1" x14ac:dyDescent="0.35">
      <c r="C46" s="193">
        <v>1989</v>
      </c>
      <c r="D46" s="194">
        <v>0.14599999999999999</v>
      </c>
      <c r="E46" s="194">
        <v>0.154</v>
      </c>
      <c r="F46" s="194">
        <v>4.8000000000000001E-2</v>
      </c>
      <c r="G46" s="194">
        <v>0.22</v>
      </c>
    </row>
    <row r="47" spans="3:7" ht="15" thickBot="1" x14ac:dyDescent="0.35">
      <c r="C47" s="193">
        <v>1988</v>
      </c>
      <c r="D47" s="194">
        <v>0.128</v>
      </c>
      <c r="E47" s="194">
        <v>5.8999999999999997E-2</v>
      </c>
      <c r="F47" s="194">
        <v>4.1000000000000002E-2</v>
      </c>
      <c r="G47" s="194">
        <v>0.191</v>
      </c>
    </row>
    <row r="48" spans="3:7" ht="15" thickBot="1" x14ac:dyDescent="0.35">
      <c r="C48" s="193">
        <v>1987</v>
      </c>
      <c r="D48" s="194">
        <v>0.16500000000000001</v>
      </c>
      <c r="E48" s="194">
        <v>0.04</v>
      </c>
      <c r="F48" s="194">
        <v>3.5999999999999997E-2</v>
      </c>
      <c r="G48" s="194">
        <v>0.14499999999999999</v>
      </c>
    </row>
    <row r="49" spans="3:7" ht="15" thickBot="1" x14ac:dyDescent="0.35">
      <c r="C49" s="193">
        <v>1986</v>
      </c>
      <c r="D49" s="194">
        <v>0.18099999999999999</v>
      </c>
      <c r="E49" s="194">
        <v>4.1000000000000002E-2</v>
      </c>
      <c r="F49" s="194">
        <v>1.9E-2</v>
      </c>
      <c r="G49" s="194">
        <v>0.11700000000000001</v>
      </c>
    </row>
    <row r="50" spans="3:7" ht="15" thickBot="1" x14ac:dyDescent="0.35">
      <c r="C50" s="193">
        <v>1985</v>
      </c>
      <c r="D50" s="194">
        <v>0.16600000000000001</v>
      </c>
      <c r="E50" s="194">
        <v>6.2E-2</v>
      </c>
      <c r="F50" s="194">
        <v>3.5000000000000003E-2</v>
      </c>
      <c r="G50" s="194">
        <v>0.13700000000000001</v>
      </c>
    </row>
    <row r="51" spans="3:7" ht="15" thickBot="1" x14ac:dyDescent="0.35">
      <c r="C51" s="193">
        <v>1984</v>
      </c>
      <c r="D51" s="194">
        <v>0.113</v>
      </c>
      <c r="E51" s="194">
        <v>9.9000000000000005E-2</v>
      </c>
      <c r="F51" s="194">
        <v>4.3999999999999997E-2</v>
      </c>
      <c r="G51" s="194">
        <v>0.14000000000000001</v>
      </c>
    </row>
    <row r="52" spans="3:7" ht="15" thickBot="1" x14ac:dyDescent="0.35">
      <c r="C52" s="193">
        <v>1983</v>
      </c>
      <c r="D52" s="194">
        <v>0.128</v>
      </c>
      <c r="E52" s="194">
        <v>9.1999999999999998E-2</v>
      </c>
      <c r="F52" s="194">
        <v>3.2000000000000001E-2</v>
      </c>
      <c r="G52" s="194">
        <v>0.13400000000000001</v>
      </c>
    </row>
    <row r="53" spans="3:7" ht="15" thickBot="1" x14ac:dyDescent="0.35">
      <c r="C53" s="193">
        <v>1982</v>
      </c>
      <c r="D53" s="194">
        <v>0.13700000000000001</v>
      </c>
      <c r="E53" s="194">
        <v>0.14599999999999999</v>
      </c>
      <c r="F53" s="194">
        <v>6.2E-2</v>
      </c>
      <c r="G53" s="194">
        <v>0.14299999999999999</v>
      </c>
    </row>
    <row r="54" spans="3:7" ht="15" thickBot="1" x14ac:dyDescent="0.35">
      <c r="C54" s="193">
        <v>1981</v>
      </c>
      <c r="D54" s="194">
        <v>0.153</v>
      </c>
      <c r="E54" s="194">
        <v>0.121</v>
      </c>
      <c r="F54" s="194">
        <v>0.104</v>
      </c>
      <c r="G54" s="194">
        <v>0.15</v>
      </c>
    </row>
    <row r="55" spans="3:7" ht="15" thickBot="1" x14ac:dyDescent="0.35">
      <c r="C55" s="193">
        <v>1980</v>
      </c>
      <c r="D55" s="194">
        <v>0.14199999999999999</v>
      </c>
      <c r="E55" s="194">
        <v>0.12</v>
      </c>
      <c r="F55" s="194">
        <v>0.13500000000000001</v>
      </c>
      <c r="G55" s="194">
        <v>0.17299999999999999</v>
      </c>
    </row>
    <row r="56" spans="3:7" ht="15" thickBot="1" x14ac:dyDescent="0.35">
      <c r="C56" s="193">
        <v>1979</v>
      </c>
      <c r="D56" s="194">
        <v>0.13289999999999999</v>
      </c>
      <c r="E56" s="194">
        <v>8.2199999999999995E-2</v>
      </c>
      <c r="F56" s="194">
        <v>0.1125</v>
      </c>
      <c r="G56" s="195" t="s">
        <v>33</v>
      </c>
    </row>
    <row r="57" spans="3:7" ht="15" thickBot="1" x14ac:dyDescent="0.35">
      <c r="C57" s="193">
        <v>1978</v>
      </c>
      <c r="D57" s="194">
        <v>0.1114</v>
      </c>
      <c r="E57" s="194">
        <v>7.7600000000000002E-2</v>
      </c>
      <c r="F57" s="194">
        <v>7.6300000000000007E-2</v>
      </c>
      <c r="G57" s="195" t="s">
        <v>33</v>
      </c>
    </row>
    <row r="58" spans="3:7" ht="15" thickBot="1" x14ac:dyDescent="0.35">
      <c r="C58" s="193">
        <v>1977</v>
      </c>
      <c r="D58" s="194">
        <v>0.1115</v>
      </c>
      <c r="E58" s="194">
        <v>9.7699999999999995E-2</v>
      </c>
      <c r="F58" s="194">
        <v>6.5000000000000002E-2</v>
      </c>
      <c r="G58" s="195" t="s">
        <v>33</v>
      </c>
    </row>
    <row r="59" spans="3:7" ht="15" thickBot="1" x14ac:dyDescent="0.35">
      <c r="C59" s="193">
        <v>1976</v>
      </c>
      <c r="D59" s="194">
        <v>0.11020000000000001</v>
      </c>
      <c r="E59" s="194">
        <v>9.35E-2</v>
      </c>
      <c r="F59" s="194">
        <v>5.74E-2</v>
      </c>
      <c r="G59" s="195" t="s">
        <v>33</v>
      </c>
    </row>
    <row r="60" spans="3:7" ht="15" thickBot="1" x14ac:dyDescent="0.35">
      <c r="C60" s="193">
        <v>1975</v>
      </c>
      <c r="D60" s="194">
        <v>0.1343</v>
      </c>
      <c r="E60" s="194">
        <v>0.1047</v>
      </c>
      <c r="F60" s="194">
        <v>9.1399999999999995E-2</v>
      </c>
      <c r="G60" s="195" t="s">
        <v>33</v>
      </c>
    </row>
    <row r="61" spans="3:7" ht="15" thickBot="1" x14ac:dyDescent="0.35">
      <c r="C61" s="193">
        <v>1974</v>
      </c>
      <c r="D61" s="194">
        <v>0.1172</v>
      </c>
      <c r="E61" s="194">
        <v>0.13159999999999999</v>
      </c>
      <c r="F61" s="194">
        <v>0.1105</v>
      </c>
      <c r="G61" s="195" t="s">
        <v>33</v>
      </c>
    </row>
    <row r="62" spans="3:7" ht="15" thickBot="1" x14ac:dyDescent="0.35">
      <c r="C62" s="193">
        <v>1973</v>
      </c>
      <c r="D62" s="194">
        <v>9.4299999999999995E-2</v>
      </c>
      <c r="E62" s="194">
        <v>7.7499999999999999E-2</v>
      </c>
      <c r="F62" s="194">
        <v>6.1800000000000001E-2</v>
      </c>
      <c r="G62" s="195" t="s">
        <v>33</v>
      </c>
    </row>
    <row r="63" spans="3:7" ht="15" thickBot="1" x14ac:dyDescent="0.35">
      <c r="C63" s="193">
        <v>1972</v>
      </c>
      <c r="D63" s="194">
        <v>6.4299999999999996E-2</v>
      </c>
      <c r="E63" s="194">
        <v>6.0100000000000001E-2</v>
      </c>
      <c r="F63" s="194">
        <v>3.27E-2</v>
      </c>
      <c r="G63" s="195" t="s">
        <v>33</v>
      </c>
    </row>
    <row r="64" spans="3:7" ht="15" thickBot="1" x14ac:dyDescent="0.35">
      <c r="C64" s="193">
        <v>1971</v>
      </c>
      <c r="D64" s="194">
        <v>5.96E-2</v>
      </c>
      <c r="E64" s="194">
        <v>5.2400000000000002E-2</v>
      </c>
      <c r="F64" s="194">
        <v>4.2900000000000001E-2</v>
      </c>
      <c r="G64" s="195" t="s">
        <v>33</v>
      </c>
    </row>
    <row r="65" spans="3:7" ht="15" thickBot="1" x14ac:dyDescent="0.35">
      <c r="C65" s="193">
        <v>1970</v>
      </c>
      <c r="D65" s="194">
        <v>4.99E-2</v>
      </c>
      <c r="E65" s="194">
        <v>4.5100000000000001E-2</v>
      </c>
      <c r="F65" s="194">
        <v>5.8400000000000001E-2</v>
      </c>
      <c r="G65" s="195" t="s">
        <v>33</v>
      </c>
    </row>
    <row r="66" spans="3:7" ht="15" thickBot="1" x14ac:dyDescent="0.35">
      <c r="C66" s="193">
        <v>1969</v>
      </c>
      <c r="D66" s="194">
        <v>3.2399999999999998E-2</v>
      </c>
      <c r="E66" s="194">
        <v>2.6700000000000002E-2</v>
      </c>
      <c r="F66" s="194">
        <v>5.4600000000000003E-2</v>
      </c>
      <c r="G66" s="195" t="s">
        <v>33</v>
      </c>
    </row>
    <row r="67" spans="3:7" ht="15" thickBot="1" x14ac:dyDescent="0.35">
      <c r="C67" s="193">
        <v>1968</v>
      </c>
      <c r="D67" s="194">
        <v>1.9900000000000001E-2</v>
      </c>
      <c r="E67" s="194">
        <v>3.2399999999999998E-2</v>
      </c>
      <c r="F67" s="194">
        <v>4.2700000000000002E-2</v>
      </c>
      <c r="G67" s="195" t="s">
        <v>33</v>
      </c>
    </row>
    <row r="68" spans="3:7" ht="15" thickBot="1" x14ac:dyDescent="0.35">
      <c r="C68" s="193">
        <v>1967</v>
      </c>
      <c r="D68" s="194">
        <v>3.5400000000000001E-2</v>
      </c>
      <c r="E68" s="194">
        <v>3.32E-2</v>
      </c>
      <c r="F68" s="194">
        <v>2.7699999999999999E-2</v>
      </c>
      <c r="G68" s="195" t="s">
        <v>33</v>
      </c>
    </row>
    <row r="69" spans="3:7" ht="15" thickBot="1" x14ac:dyDescent="0.35">
      <c r="C69" s="193">
        <v>1966</v>
      </c>
      <c r="D69" s="194">
        <v>3.49E-2</v>
      </c>
      <c r="E69" s="194">
        <v>3.6999999999999998E-2</v>
      </c>
      <c r="F69" s="194">
        <v>3.0200000000000001E-2</v>
      </c>
      <c r="G69" s="195" t="s">
        <v>33</v>
      </c>
    </row>
    <row r="70" spans="3:7" ht="15" thickBot="1" x14ac:dyDescent="0.35">
      <c r="C70" s="193">
        <v>1965</v>
      </c>
      <c r="D70" s="194">
        <v>4.07E-2</v>
      </c>
      <c r="E70" s="194">
        <v>3.9899999999999998E-2</v>
      </c>
      <c r="F70" s="194">
        <v>1.5900000000000001E-2</v>
      </c>
      <c r="G70" s="195" t="s">
        <v>33</v>
      </c>
    </row>
    <row r="71" spans="3:7" ht="15" thickBot="1" x14ac:dyDescent="0.35">
      <c r="C71" s="193">
        <v>1964</v>
      </c>
      <c r="D71" s="194">
        <v>2.53E-2</v>
      </c>
      <c r="E71" s="194">
        <v>3.4200000000000001E-2</v>
      </c>
      <c r="F71" s="194">
        <v>1.2800000000000001E-2</v>
      </c>
      <c r="G71" s="195" t="s">
        <v>33</v>
      </c>
    </row>
    <row r="72" spans="3:7" ht="15" thickBot="1" x14ac:dyDescent="0.35">
      <c r="C72" s="193">
        <v>1963</v>
      </c>
      <c r="D72" s="194">
        <v>1.34E-2</v>
      </c>
      <c r="E72" s="194">
        <v>2.92E-2</v>
      </c>
      <c r="F72" s="194">
        <v>1.24E-2</v>
      </c>
      <c r="G72" s="195" t="s">
        <v>33</v>
      </c>
    </row>
    <row r="73" spans="3:7" ht="15" thickBot="1" x14ac:dyDescent="0.35">
      <c r="C73" s="193">
        <v>1962</v>
      </c>
      <c r="D73" s="194">
        <v>1.2500000000000001E-2</v>
      </c>
      <c r="E73" s="194">
        <v>3.5499999999999997E-2</v>
      </c>
      <c r="F73" s="194">
        <v>1.2E-2</v>
      </c>
      <c r="G73" s="195" t="s">
        <v>33</v>
      </c>
    </row>
    <row r="74" spans="3:7" ht="15" thickBot="1" x14ac:dyDescent="0.35">
      <c r="C74" s="193">
        <v>1961</v>
      </c>
      <c r="D74" s="194">
        <v>2.1000000000000001E-2</v>
      </c>
      <c r="E74" s="194">
        <v>2.0799999999999999E-2</v>
      </c>
      <c r="F74" s="194">
        <v>1.0699999999999999E-2</v>
      </c>
      <c r="G74" s="195" t="s">
        <v>33</v>
      </c>
    </row>
    <row r="75" spans="3:7" ht="15" thickBot="1" x14ac:dyDescent="0.35">
      <c r="C75" s="193">
        <v>1960</v>
      </c>
      <c r="D75" s="194">
        <v>1.29E-2</v>
      </c>
      <c r="E75" s="194">
        <v>1.7399999999999999E-2</v>
      </c>
      <c r="F75" s="194">
        <v>1.46E-2</v>
      </c>
      <c r="G75" s="195" t="s">
        <v>33</v>
      </c>
    </row>
    <row r="76" spans="3:7" x14ac:dyDescent="0.3">
      <c r="C76" s="196"/>
    </row>
    <row r="77" spans="3:7" x14ac:dyDescent="0.3">
      <c r="C77" s="196" t="s">
        <v>545</v>
      </c>
    </row>
  </sheetData>
  <hyperlinks>
    <hyperlink ref="F3" r:id="rId1" xr:uid="{8B13DB41-A239-4AD6-BF61-030293A20F7E}"/>
    <hyperlink ref="O3" location="Contents!E9" display="Contents!E9" xr:uid="{5A1A145A-E1C9-41A3-9E6B-E99A2B7781AC}"/>
  </hyperlinks>
  <printOptions headings="1"/>
  <pageMargins left="0.31496062992125984" right="0.27559055118110237" top="0.35433070866141736" bottom="0.27559055118110237" header="0.19685039370078741" footer="0.11811023622047245"/>
  <pageSetup paperSize="9" scale="45" orientation="landscape" r:id="rId2"/>
  <headerFooter>
    <oddFooter>&amp;R&amp;F &amp;A &amp;D P&amp;P/&amp;N</oddFooter>
  </headerFooter>
  <colBreaks count="1" manualBreakCount="1">
    <brk id="3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4483B-0FC7-48DF-9CFD-1A479CC8BCC8}">
  <sheetPr>
    <tabColor rgb="FFFFCCFF"/>
  </sheetPr>
  <dimension ref="A1:N100"/>
  <sheetViews>
    <sheetView view="pageBreakPreview" topLeftCell="A5" zoomScaleNormal="100" zoomScaleSheetLayoutView="100" workbookViewId="0">
      <pane xSplit="1" ySplit="7" topLeftCell="B246" activePane="bottomRight" state="frozen"/>
      <selection activeCell="A5" sqref="A5"/>
      <selection pane="topRight" activeCell="B5" sqref="B5"/>
      <selection pane="bottomLeft" activeCell="A12" sqref="A12"/>
      <selection pane="bottomRight" activeCell="P252" sqref="P252"/>
    </sheetView>
  </sheetViews>
  <sheetFormatPr defaultRowHeight="14.4" x14ac:dyDescent="0.3"/>
  <cols>
    <col min="1" max="2" width="2.44140625" customWidth="1"/>
    <col min="3" max="11" width="9.77734375" customWidth="1"/>
    <col min="12" max="12" width="3.5546875" customWidth="1"/>
  </cols>
  <sheetData>
    <row r="1" spans="1:14" ht="18" x14ac:dyDescent="0.35">
      <c r="A1" s="78" t="s">
        <v>234</v>
      </c>
    </row>
    <row r="2" spans="1:14" ht="18" x14ac:dyDescent="0.35">
      <c r="A2" s="78" t="s">
        <v>237</v>
      </c>
    </row>
    <row r="3" spans="1:14" x14ac:dyDescent="0.3">
      <c r="A3" s="51" t="s">
        <v>106</v>
      </c>
      <c r="D3" t="s">
        <v>451</v>
      </c>
      <c r="N3" s="51" t="s">
        <v>157</v>
      </c>
    </row>
    <row r="5" spans="1:14" x14ac:dyDescent="0.3">
      <c r="A5" s="160" t="s">
        <v>518</v>
      </c>
    </row>
    <row r="100" spans="13:13" x14ac:dyDescent="0.3">
      <c r="M100" t="s">
        <v>173</v>
      </c>
    </row>
  </sheetData>
  <hyperlinks>
    <hyperlink ref="A5" location="Contents!E9" display="Contents!E9" xr:uid="{E89C6D5D-7D48-474F-B952-5225678F0D70}"/>
  </hyperlinks>
  <printOptions headings="1"/>
  <pageMargins left="0.23622047244094491" right="0.19685039370078741" top="0.39370078740157483" bottom="0.35433070866141736" header="0.23622047244094491" footer="0.11811023622047245"/>
  <pageSetup paperSize="9" scale="70" fitToWidth="6" orientation="landscape" r:id="rId1"/>
  <headerFooter>
    <oddFooter>&amp;R&amp;F &amp;A &amp;D  P&amp;P</oddFooter>
  </headerFooter>
  <colBreaks count="7" manualBreakCount="7">
    <brk id="22" min="249" max="295" man="1"/>
    <brk id="32" max="50" man="1"/>
    <brk id="43" min="249" max="295" man="1"/>
    <brk id="65" min="249" max="295" man="1"/>
    <brk id="86" min="249" max="295" man="1"/>
    <brk id="97" max="50" man="1"/>
    <brk id="108" min="249" max="295" man="1"/>
  </col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08693-DB99-4FE9-AA1A-D57C5D7049F5}">
  <sheetPr>
    <tabColor rgb="FFCCFFFF"/>
  </sheetPr>
  <dimension ref="A1:AD191"/>
  <sheetViews>
    <sheetView view="pageBreakPreview" topLeftCell="B1" zoomScale="68" zoomScaleNormal="100" zoomScaleSheetLayoutView="70" workbookViewId="0">
      <pane xSplit="2" ySplit="7" topLeftCell="F153" activePane="bottomRight" state="frozen"/>
      <selection activeCell="B1" sqref="B1"/>
      <selection pane="topRight" activeCell="D1" sqref="D1"/>
      <selection pane="bottomLeft" activeCell="B8" sqref="B8"/>
      <selection pane="bottomRight" activeCell="K3" sqref="K3"/>
    </sheetView>
  </sheetViews>
  <sheetFormatPr defaultRowHeight="14.4" outlineLevelRow="1" outlineLevelCol="1" x14ac:dyDescent="0.3"/>
  <cols>
    <col min="1" max="1" width="5.21875" customWidth="1"/>
    <col min="2" max="2" width="3.21875" customWidth="1"/>
    <col min="3" max="3" width="56.5546875" customWidth="1"/>
    <col min="4" max="7" width="10.77734375" customWidth="1"/>
    <col min="8" max="8" width="9" customWidth="1"/>
    <col min="9" max="9" width="11.21875" customWidth="1"/>
    <col min="10" max="10" width="11.21875" bestFit="1" customWidth="1"/>
    <col min="11" max="11" width="13" customWidth="1"/>
    <col min="12" max="12" width="16.77734375" customWidth="1"/>
    <col min="13" max="16" width="16.44140625" customWidth="1"/>
    <col min="17" max="17" width="16" customWidth="1"/>
    <col min="18" max="18" width="16.77734375" customWidth="1"/>
    <col min="23" max="23" width="0" hidden="1" customWidth="1" outlineLevel="1"/>
    <col min="24" max="24" width="58.21875" hidden="1" customWidth="1" outlineLevel="1"/>
    <col min="25" max="25" width="11.77734375" hidden="1" customWidth="1" outlineLevel="1"/>
    <col min="26" max="29" width="19.77734375" hidden="1" customWidth="1" outlineLevel="1"/>
    <col min="30" max="30" width="8.77734375" collapsed="1"/>
  </cols>
  <sheetData>
    <row r="1" spans="1:29" s="65" customFormat="1" ht="18" x14ac:dyDescent="0.3">
      <c r="C1" s="113" t="s">
        <v>234</v>
      </c>
      <c r="D1" s="113"/>
      <c r="E1" s="113"/>
      <c r="F1" s="113"/>
      <c r="G1" s="113"/>
      <c r="H1" s="113"/>
      <c r="I1" s="113"/>
    </row>
    <row r="2" spans="1:29" s="65" customFormat="1" ht="18" x14ac:dyDescent="0.3">
      <c r="C2" s="113" t="s">
        <v>239</v>
      </c>
      <c r="D2" s="113"/>
      <c r="E2" s="113"/>
      <c r="F2" s="113"/>
      <c r="G2" s="113"/>
      <c r="H2" s="113"/>
      <c r="I2" s="113"/>
    </row>
    <row r="3" spans="1:29" s="65" customFormat="1" ht="18" x14ac:dyDescent="0.3">
      <c r="C3" s="113" t="s">
        <v>238</v>
      </c>
      <c r="D3" s="113"/>
      <c r="E3" s="113"/>
      <c r="F3" s="113"/>
      <c r="G3" s="113"/>
      <c r="H3" s="113"/>
      <c r="I3" s="113"/>
      <c r="L3" s="160" t="s">
        <v>518</v>
      </c>
    </row>
    <row r="4" spans="1:29" s="65" customFormat="1" x14ac:dyDescent="0.3"/>
    <row r="5" spans="1:29" s="65" customFormat="1" x14ac:dyDescent="0.3">
      <c r="A5" s="65" t="s">
        <v>106</v>
      </c>
      <c r="C5" s="114" t="s">
        <v>58</v>
      </c>
      <c r="D5" s="114"/>
      <c r="E5" s="114"/>
      <c r="F5" s="114"/>
      <c r="G5" s="114"/>
      <c r="H5" s="114"/>
      <c r="I5" s="114"/>
    </row>
    <row r="6" spans="1:29" s="65" customFormat="1" ht="16.2" thickBot="1" x14ac:dyDescent="0.35">
      <c r="A6" s="223" t="str">
        <f>C6</f>
        <v>Financial Results</v>
      </c>
      <c r="C6" s="115" t="s">
        <v>57</v>
      </c>
      <c r="D6" s="173" t="s">
        <v>523</v>
      </c>
      <c r="E6" s="174"/>
      <c r="F6" s="175"/>
      <c r="G6" s="175"/>
      <c r="H6" s="175"/>
      <c r="I6" s="175"/>
      <c r="J6" s="176"/>
      <c r="K6" s="128"/>
      <c r="L6" s="181" t="s">
        <v>58</v>
      </c>
      <c r="M6" s="182"/>
      <c r="N6" s="182"/>
      <c r="O6" s="182"/>
      <c r="P6" s="183"/>
      <c r="Q6" s="127" t="s">
        <v>456</v>
      </c>
      <c r="R6" s="128"/>
      <c r="X6" s="116" t="s">
        <v>57</v>
      </c>
    </row>
    <row r="7" spans="1:29" s="65" customFormat="1" ht="15" thickBot="1" x14ac:dyDescent="0.35">
      <c r="A7" s="223"/>
      <c r="C7" s="89" t="s">
        <v>0</v>
      </c>
      <c r="D7" s="162" t="s">
        <v>164</v>
      </c>
      <c r="E7" s="162" t="s">
        <v>162</v>
      </c>
      <c r="F7" s="162" t="s">
        <v>161</v>
      </c>
      <c r="G7" s="162" t="s">
        <v>160</v>
      </c>
      <c r="H7" s="162" t="s">
        <v>159</v>
      </c>
      <c r="I7" s="162" t="s">
        <v>158</v>
      </c>
      <c r="J7" s="117" t="s">
        <v>63</v>
      </c>
      <c r="K7" s="117" t="s">
        <v>62</v>
      </c>
      <c r="L7" s="180" t="s">
        <v>5</v>
      </c>
      <c r="M7" s="180" t="s">
        <v>4</v>
      </c>
      <c r="N7" s="180" t="s">
        <v>3</v>
      </c>
      <c r="O7" s="180" t="s">
        <v>2</v>
      </c>
      <c r="P7" s="180" t="s">
        <v>1</v>
      </c>
      <c r="Q7" s="125" t="s">
        <v>232</v>
      </c>
      <c r="R7" s="125" t="s">
        <v>245</v>
      </c>
      <c r="X7" s="118" t="s">
        <v>0</v>
      </c>
      <c r="Y7" s="92" t="s">
        <v>245</v>
      </c>
      <c r="Z7" s="92" t="s">
        <v>232</v>
      </c>
      <c r="AA7" s="92" t="s">
        <v>1</v>
      </c>
      <c r="AB7" s="92" t="s">
        <v>2</v>
      </c>
      <c r="AC7" s="92" t="s">
        <v>3</v>
      </c>
    </row>
    <row r="8" spans="1:29" s="65" customFormat="1" ht="29.4" thickBot="1" x14ac:dyDescent="0.35">
      <c r="A8" s="223"/>
      <c r="C8" s="2" t="s">
        <v>6</v>
      </c>
      <c r="D8" s="163"/>
      <c r="E8" s="163"/>
      <c r="F8" s="163"/>
      <c r="G8" s="163"/>
      <c r="H8" s="163"/>
      <c r="I8" s="163"/>
      <c r="L8" s="3" t="s">
        <v>7</v>
      </c>
      <c r="M8" s="3" t="s">
        <v>7</v>
      </c>
      <c r="N8" s="3" t="s">
        <v>7</v>
      </c>
      <c r="O8" s="3" t="s">
        <v>7</v>
      </c>
      <c r="P8" s="3" t="s">
        <v>7</v>
      </c>
      <c r="Q8" s="3"/>
      <c r="R8" s="3"/>
      <c r="X8" s="93" t="s">
        <v>6</v>
      </c>
      <c r="Y8" s="94" t="s">
        <v>33</v>
      </c>
      <c r="Z8" s="95" t="s">
        <v>7</v>
      </c>
      <c r="AA8" s="95" t="s">
        <v>7</v>
      </c>
      <c r="AB8" s="95" t="s">
        <v>7</v>
      </c>
      <c r="AC8" s="95" t="s">
        <v>7</v>
      </c>
    </row>
    <row r="9" spans="1:29" s="65" customFormat="1" ht="15" thickBot="1" x14ac:dyDescent="0.35">
      <c r="A9" s="223"/>
      <c r="C9" s="13" t="s">
        <v>8</v>
      </c>
      <c r="D9" s="139"/>
      <c r="E9" s="139"/>
      <c r="F9" s="139"/>
      <c r="G9" s="139"/>
      <c r="H9" s="139"/>
      <c r="I9" s="139"/>
      <c r="L9" s="15"/>
      <c r="M9" s="14"/>
      <c r="N9" s="14"/>
      <c r="O9" s="14"/>
      <c r="P9" s="14"/>
      <c r="Q9" s="14"/>
      <c r="R9" s="14"/>
      <c r="W9" s="65">
        <f t="shared" ref="W9:W32" si="0">IF(C9=X9,1,0)</f>
        <v>1</v>
      </c>
      <c r="X9" s="18" t="s">
        <v>8</v>
      </c>
      <c r="Y9" s="19"/>
      <c r="Z9" s="19"/>
      <c r="AA9" s="19"/>
      <c r="AB9" s="19"/>
      <c r="AC9" s="20"/>
    </row>
    <row r="10" spans="1:29" s="65" customFormat="1" ht="15" customHeight="1" outlineLevel="1" thickBot="1" x14ac:dyDescent="0.35">
      <c r="A10" s="223"/>
      <c r="C10" s="4" t="s">
        <v>9</v>
      </c>
      <c r="D10" s="164"/>
      <c r="E10" s="164"/>
      <c r="F10" s="164"/>
      <c r="G10" s="164"/>
      <c r="H10" s="164"/>
      <c r="I10" s="164"/>
      <c r="L10" s="21">
        <v>10000185</v>
      </c>
      <c r="M10" s="21">
        <v>12371980</v>
      </c>
      <c r="N10" s="21">
        <v>12552806</v>
      </c>
      <c r="O10" s="21">
        <v>13035302</v>
      </c>
      <c r="P10" s="21">
        <v>13502187</v>
      </c>
      <c r="Q10" s="21">
        <v>14049882</v>
      </c>
      <c r="R10" s="21">
        <v>16798945</v>
      </c>
      <c r="W10" s="65">
        <f t="shared" si="0"/>
        <v>1</v>
      </c>
      <c r="X10" s="99" t="s">
        <v>9</v>
      </c>
      <c r="Y10" s="94" t="s">
        <v>33</v>
      </c>
      <c r="Z10" s="94" t="s">
        <v>246</v>
      </c>
      <c r="AA10" s="94" t="s">
        <v>246</v>
      </c>
      <c r="AB10" s="94" t="s">
        <v>247</v>
      </c>
      <c r="AC10" s="94" t="s">
        <v>248</v>
      </c>
    </row>
    <row r="11" spans="1:29" s="65" customFormat="1" ht="15" customHeight="1" outlineLevel="1" thickBot="1" x14ac:dyDescent="0.35">
      <c r="A11" s="223"/>
      <c r="C11" s="4" t="s">
        <v>10</v>
      </c>
      <c r="D11" s="164"/>
      <c r="E11" s="164"/>
      <c r="F11" s="164"/>
      <c r="G11" s="164"/>
      <c r="H11" s="164"/>
      <c r="I11" s="164"/>
      <c r="L11" s="21">
        <v>25575026</v>
      </c>
      <c r="M11" s="21">
        <v>28531454</v>
      </c>
      <c r="N11" s="21">
        <v>30528307</v>
      </c>
      <c r="O11" s="21">
        <v>32125722</v>
      </c>
      <c r="P11" s="21">
        <v>33247397</v>
      </c>
      <c r="Q11" s="21">
        <f>'AFS Summary &amp; Charts 15yrs'!Q21*'AFS Summary &amp; Charts 15yrs'!Q1</f>
        <v>32673937.000000004</v>
      </c>
      <c r="R11" s="21">
        <f>'AFS Summary &amp; Charts 15yrs'!R21*'AFS Summary &amp; Charts 15yrs'!R1</f>
        <v>37936455</v>
      </c>
      <c r="W11" s="65">
        <f t="shared" si="0"/>
        <v>1</v>
      </c>
      <c r="X11" s="99" t="s">
        <v>10</v>
      </c>
      <c r="Y11" s="94" t="s">
        <v>33</v>
      </c>
      <c r="Z11" s="94" t="s">
        <v>249</v>
      </c>
      <c r="AA11" s="94" t="s">
        <v>249</v>
      </c>
      <c r="AB11" s="94" t="s">
        <v>250</v>
      </c>
      <c r="AC11" s="94" t="s">
        <v>251</v>
      </c>
    </row>
    <row r="12" spans="1:29" s="65" customFormat="1" ht="15" customHeight="1" outlineLevel="1" thickBot="1" x14ac:dyDescent="0.35">
      <c r="A12" s="223"/>
      <c r="C12" s="4" t="s">
        <v>11</v>
      </c>
      <c r="D12" s="164"/>
      <c r="E12" s="164"/>
      <c r="F12" s="164"/>
      <c r="G12" s="164"/>
      <c r="H12" s="164"/>
      <c r="I12" s="164"/>
      <c r="L12" s="21">
        <v>540769</v>
      </c>
      <c r="M12" s="21">
        <v>535883</v>
      </c>
      <c r="N12" s="21">
        <v>363362</v>
      </c>
      <c r="O12" s="21">
        <v>282486</v>
      </c>
      <c r="P12" s="21">
        <v>198911</v>
      </c>
      <c r="Q12" s="21">
        <v>154767</v>
      </c>
      <c r="R12" s="21">
        <v>211826</v>
      </c>
      <c r="W12" s="65">
        <f t="shared" si="0"/>
        <v>1</v>
      </c>
      <c r="X12" s="99" t="s">
        <v>11</v>
      </c>
      <c r="Y12" s="94" t="s">
        <v>33</v>
      </c>
      <c r="Z12" s="94" t="s">
        <v>252</v>
      </c>
      <c r="AA12" s="94" t="s">
        <v>252</v>
      </c>
      <c r="AB12" s="94" t="s">
        <v>253</v>
      </c>
      <c r="AC12" s="94" t="s">
        <v>254</v>
      </c>
    </row>
    <row r="13" spans="1:29" s="65" customFormat="1" ht="15" customHeight="1" outlineLevel="1" thickBot="1" x14ac:dyDescent="0.35">
      <c r="A13" s="223"/>
      <c r="C13" s="4" t="s">
        <v>12</v>
      </c>
      <c r="D13" s="164"/>
      <c r="E13" s="164"/>
      <c r="F13" s="164"/>
      <c r="G13" s="164"/>
      <c r="H13" s="164"/>
      <c r="I13" s="164"/>
      <c r="L13" s="21">
        <v>8268228</v>
      </c>
      <c r="M13" s="21">
        <v>12663044</v>
      </c>
      <c r="N13" s="21">
        <v>13315287</v>
      </c>
      <c r="O13" s="21">
        <v>14975039</v>
      </c>
      <c r="P13" s="21">
        <v>10719529</v>
      </c>
      <c r="Q13" s="21">
        <v>9397301</v>
      </c>
      <c r="R13" s="21">
        <v>10441595</v>
      </c>
      <c r="W13" s="65">
        <f t="shared" si="0"/>
        <v>1</v>
      </c>
      <c r="X13" s="99" t="s">
        <v>12</v>
      </c>
      <c r="Y13" s="94" t="s">
        <v>33</v>
      </c>
      <c r="Z13" s="94" t="s">
        <v>255</v>
      </c>
      <c r="AA13" s="94" t="s">
        <v>255</v>
      </c>
      <c r="AB13" s="94" t="s">
        <v>256</v>
      </c>
      <c r="AC13" s="94" t="s">
        <v>257</v>
      </c>
    </row>
    <row r="14" spans="1:29" s="65" customFormat="1" ht="15" customHeight="1" outlineLevel="1" thickBot="1" x14ac:dyDescent="0.35">
      <c r="A14" s="223"/>
      <c r="C14" s="4" t="s">
        <v>13</v>
      </c>
      <c r="D14" s="164"/>
      <c r="E14" s="164"/>
      <c r="F14" s="164"/>
      <c r="G14" s="164"/>
      <c r="H14" s="164"/>
      <c r="I14" s="164"/>
      <c r="L14" s="21">
        <v>6148312</v>
      </c>
      <c r="M14" s="21">
        <v>7216835</v>
      </c>
      <c r="N14" s="21">
        <v>6591793</v>
      </c>
      <c r="O14" s="21">
        <v>7857844</v>
      </c>
      <c r="P14" s="21">
        <v>3600786</v>
      </c>
      <c r="Q14" s="21">
        <f>Q15-SUM(Q10:Q13)</f>
        <v>8031910</v>
      </c>
      <c r="R14" s="21">
        <f>R15-SUM(R10:R13)</f>
        <v>8609957</v>
      </c>
      <c r="W14" s="65">
        <f t="shared" si="0"/>
        <v>1</v>
      </c>
      <c r="X14" s="99" t="s">
        <v>13</v>
      </c>
      <c r="Y14" s="94" t="s">
        <v>33</v>
      </c>
      <c r="Z14" s="94" t="s">
        <v>258</v>
      </c>
      <c r="AA14" s="94" t="s">
        <v>258</v>
      </c>
      <c r="AB14" s="94" t="s">
        <v>259</v>
      </c>
      <c r="AC14" s="94" t="s">
        <v>260</v>
      </c>
    </row>
    <row r="15" spans="1:29" s="65" customFormat="1" ht="15" thickBot="1" x14ac:dyDescent="0.35">
      <c r="A15" s="223"/>
      <c r="C15" s="6" t="s">
        <v>14</v>
      </c>
      <c r="D15" s="139"/>
      <c r="E15" s="139"/>
      <c r="F15" s="139"/>
      <c r="G15" s="139"/>
      <c r="H15" s="139"/>
      <c r="I15" s="139"/>
      <c r="L15" s="22">
        <v>50532519</v>
      </c>
      <c r="M15" s="22">
        <v>61319197</v>
      </c>
      <c r="N15" s="22">
        <v>63351554</v>
      </c>
      <c r="O15" s="22">
        <v>68276394</v>
      </c>
      <c r="P15" s="22">
        <v>61268811</v>
      </c>
      <c r="Q15" s="22">
        <v>64307797</v>
      </c>
      <c r="R15" s="22">
        <v>73998778</v>
      </c>
      <c r="W15" s="65">
        <f t="shared" si="0"/>
        <v>1</v>
      </c>
      <c r="X15" s="100" t="s">
        <v>14</v>
      </c>
      <c r="Y15" s="92" t="s">
        <v>33</v>
      </c>
      <c r="Z15" s="92" t="s">
        <v>261</v>
      </c>
      <c r="AA15" s="92" t="s">
        <v>261</v>
      </c>
      <c r="AB15" s="92" t="s">
        <v>262</v>
      </c>
      <c r="AC15" s="92" t="s">
        <v>263</v>
      </c>
    </row>
    <row r="16" spans="1:29" s="65" customFormat="1" ht="15" outlineLevel="1" thickBot="1" x14ac:dyDescent="0.35">
      <c r="A16" s="223"/>
      <c r="C16" s="4" t="s">
        <v>15</v>
      </c>
      <c r="D16" s="164"/>
      <c r="E16" s="164"/>
      <c r="F16" s="164"/>
      <c r="G16" s="164"/>
      <c r="H16" s="164"/>
      <c r="I16" s="164"/>
      <c r="L16" s="21">
        <v>11631360</v>
      </c>
      <c r="M16" s="21">
        <v>13555280</v>
      </c>
      <c r="N16" s="21">
        <v>14852303</v>
      </c>
      <c r="O16" s="21">
        <v>15844916</v>
      </c>
      <c r="P16" s="21">
        <v>15756481</v>
      </c>
      <c r="Q16" s="21">
        <v>17613658</v>
      </c>
      <c r="R16" s="21">
        <v>19363760</v>
      </c>
      <c r="W16" s="65">
        <f t="shared" si="0"/>
        <v>1</v>
      </c>
      <c r="X16" s="99" t="s">
        <v>15</v>
      </c>
      <c r="Y16" s="94" t="s">
        <v>33</v>
      </c>
      <c r="Z16" s="94" t="s">
        <v>264</v>
      </c>
      <c r="AA16" s="94" t="s">
        <v>264</v>
      </c>
      <c r="AB16" s="94" t="s">
        <v>265</v>
      </c>
      <c r="AC16" s="94" t="s">
        <v>266</v>
      </c>
    </row>
    <row r="17" spans="1:29" s="65" customFormat="1" ht="15" outlineLevel="1" thickBot="1" x14ac:dyDescent="0.35">
      <c r="A17" s="223"/>
      <c r="C17" s="4" t="s">
        <v>16</v>
      </c>
      <c r="D17" s="164"/>
      <c r="E17" s="164"/>
      <c r="F17" s="164"/>
      <c r="G17" s="164"/>
      <c r="H17" s="164"/>
      <c r="I17" s="164"/>
      <c r="L17" s="21">
        <v>170203</v>
      </c>
      <c r="M17" s="21">
        <v>162088</v>
      </c>
      <c r="N17" s="21">
        <v>166266</v>
      </c>
      <c r="O17" s="21">
        <v>168115</v>
      </c>
      <c r="P17" s="21">
        <v>163541</v>
      </c>
      <c r="Q17" s="21">
        <v>180681</v>
      </c>
      <c r="R17" s="21">
        <v>187819</v>
      </c>
      <c r="W17" s="65">
        <f t="shared" si="0"/>
        <v>1</v>
      </c>
      <c r="X17" s="99" t="s">
        <v>16</v>
      </c>
      <c r="Y17" s="94" t="s">
        <v>33</v>
      </c>
      <c r="Z17" s="94" t="s">
        <v>267</v>
      </c>
      <c r="AA17" s="94" t="s">
        <v>267</v>
      </c>
      <c r="AB17" s="94" t="s">
        <v>268</v>
      </c>
      <c r="AC17" s="94" t="s">
        <v>269</v>
      </c>
    </row>
    <row r="18" spans="1:29" s="65" customFormat="1" ht="15" outlineLevel="1" thickBot="1" x14ac:dyDescent="0.35">
      <c r="A18" s="223"/>
      <c r="C18" s="4" t="s">
        <v>17</v>
      </c>
      <c r="D18" s="164"/>
      <c r="E18" s="164"/>
      <c r="F18" s="164"/>
      <c r="G18" s="164"/>
      <c r="H18" s="164"/>
      <c r="I18" s="164"/>
      <c r="L18" s="21">
        <v>3148286</v>
      </c>
      <c r="M18" s="21">
        <v>3346085</v>
      </c>
      <c r="N18" s="21">
        <v>3293980</v>
      </c>
      <c r="O18" s="21">
        <v>3997697</v>
      </c>
      <c r="P18" s="21">
        <v>3767044</v>
      </c>
      <c r="Q18" s="21">
        <v>4219554</v>
      </c>
      <c r="R18" s="21">
        <v>4470057</v>
      </c>
      <c r="W18" s="65">
        <f t="shared" si="0"/>
        <v>0</v>
      </c>
      <c r="X18" s="99" t="s">
        <v>270</v>
      </c>
      <c r="Y18" s="94" t="s">
        <v>33</v>
      </c>
      <c r="Z18" s="94" t="s">
        <v>271</v>
      </c>
      <c r="AA18" s="94" t="s">
        <v>271</v>
      </c>
      <c r="AB18" s="94" t="s">
        <v>272</v>
      </c>
      <c r="AC18" s="94" t="s">
        <v>273</v>
      </c>
    </row>
    <row r="19" spans="1:29" s="65" customFormat="1" ht="15" outlineLevel="1" thickBot="1" x14ac:dyDescent="0.35">
      <c r="A19" s="223"/>
      <c r="C19" s="4" t="s">
        <v>18</v>
      </c>
      <c r="D19" s="164"/>
      <c r="E19" s="164"/>
      <c r="F19" s="164"/>
      <c r="G19" s="164"/>
      <c r="H19" s="164"/>
      <c r="I19" s="164"/>
      <c r="L19" s="21">
        <v>2917619</v>
      </c>
      <c r="M19" s="21">
        <v>3526906</v>
      </c>
      <c r="N19" s="21">
        <v>3885854</v>
      </c>
      <c r="O19" s="21">
        <v>3784792</v>
      </c>
      <c r="P19" s="21">
        <v>2746262</v>
      </c>
      <c r="Q19" s="21">
        <v>2729174</v>
      </c>
      <c r="R19" s="21">
        <v>2954333</v>
      </c>
      <c r="W19" s="65">
        <f t="shared" si="0"/>
        <v>1</v>
      </c>
      <c r="X19" s="99" t="s">
        <v>18</v>
      </c>
      <c r="Y19" s="94" t="s">
        <v>33</v>
      </c>
      <c r="Z19" s="94" t="s">
        <v>274</v>
      </c>
      <c r="AA19" s="94" t="s">
        <v>274</v>
      </c>
      <c r="AB19" s="94" t="s">
        <v>275</v>
      </c>
      <c r="AC19" s="94" t="s">
        <v>276</v>
      </c>
    </row>
    <row r="20" spans="1:29" s="65" customFormat="1" ht="15" outlineLevel="1" thickBot="1" x14ac:dyDescent="0.35">
      <c r="A20" s="223"/>
      <c r="C20" s="4" t="s">
        <v>19</v>
      </c>
      <c r="D20" s="164"/>
      <c r="E20" s="164"/>
      <c r="F20" s="164"/>
      <c r="G20" s="164"/>
      <c r="H20" s="164"/>
      <c r="I20" s="164"/>
      <c r="L20" s="21">
        <v>16719787</v>
      </c>
      <c r="M20" s="21">
        <v>16810805</v>
      </c>
      <c r="N20" s="21">
        <v>18065918</v>
      </c>
      <c r="O20" s="21">
        <v>18665656</v>
      </c>
      <c r="P20" s="21">
        <v>20949269</v>
      </c>
      <c r="Q20" s="21">
        <v>21564468</v>
      </c>
      <c r="R20" s="21">
        <v>25161992</v>
      </c>
      <c r="W20" s="65">
        <f t="shared" si="0"/>
        <v>0</v>
      </c>
      <c r="X20" s="99" t="s">
        <v>277</v>
      </c>
      <c r="Y20" s="94" t="s">
        <v>33</v>
      </c>
      <c r="Z20" s="94" t="s">
        <v>278</v>
      </c>
      <c r="AA20" s="94" t="s">
        <v>279</v>
      </c>
      <c r="AB20" s="94" t="s">
        <v>280</v>
      </c>
      <c r="AC20" s="94" t="s">
        <v>281</v>
      </c>
    </row>
    <row r="21" spans="1:29" s="65" customFormat="1" ht="15" outlineLevel="1" thickBot="1" x14ac:dyDescent="0.35">
      <c r="A21" s="223"/>
      <c r="C21" s="4" t="s">
        <v>20</v>
      </c>
      <c r="D21" s="164"/>
      <c r="E21" s="164"/>
      <c r="F21" s="164"/>
      <c r="G21" s="164"/>
      <c r="H21" s="164"/>
      <c r="I21" s="164"/>
      <c r="L21" s="21">
        <v>314962</v>
      </c>
      <c r="M21" s="21">
        <v>143236</v>
      </c>
      <c r="N21" s="21">
        <v>4827300</v>
      </c>
      <c r="O21" s="21">
        <v>4210130</v>
      </c>
      <c r="P21" s="21">
        <v>144371</v>
      </c>
      <c r="Q21" s="21">
        <v>103673</v>
      </c>
      <c r="R21" s="21">
        <v>63704</v>
      </c>
      <c r="W21" s="65">
        <f t="shared" si="0"/>
        <v>0</v>
      </c>
      <c r="X21" s="99" t="s">
        <v>282</v>
      </c>
      <c r="Y21" s="94" t="s">
        <v>33</v>
      </c>
      <c r="Z21" s="94" t="s">
        <v>283</v>
      </c>
      <c r="AA21" s="94" t="s">
        <v>283</v>
      </c>
      <c r="AB21" s="94" t="s">
        <v>284</v>
      </c>
      <c r="AC21" s="94" t="s">
        <v>285</v>
      </c>
    </row>
    <row r="22" spans="1:29" s="65" customFormat="1" ht="15" outlineLevel="1" thickBot="1" x14ac:dyDescent="0.35">
      <c r="A22" s="223"/>
      <c r="C22" s="4" t="s">
        <v>21</v>
      </c>
      <c r="D22" s="164"/>
      <c r="E22" s="164"/>
      <c r="F22" s="164"/>
      <c r="G22" s="164"/>
      <c r="H22" s="164"/>
      <c r="I22" s="164"/>
      <c r="L22" s="21">
        <v>13325228</v>
      </c>
      <c r="M22" s="21">
        <v>20461183</v>
      </c>
      <c r="N22" s="21">
        <v>18051764</v>
      </c>
      <c r="O22" s="21">
        <v>21810332</v>
      </c>
      <c r="P22" s="21">
        <v>18300455</v>
      </c>
      <c r="Q22" s="21">
        <f>Q23-SUM(Q16:Q21)</f>
        <v>19754466</v>
      </c>
      <c r="R22" s="21">
        <f>R23-SUM(R16:R21)</f>
        <v>22668904</v>
      </c>
      <c r="W22" s="65">
        <f t="shared" si="0"/>
        <v>1</v>
      </c>
      <c r="X22" s="99" t="s">
        <v>21</v>
      </c>
      <c r="Y22" s="94" t="s">
        <v>33</v>
      </c>
      <c r="Z22" s="94" t="s">
        <v>286</v>
      </c>
      <c r="AA22" s="94" t="s">
        <v>287</v>
      </c>
      <c r="AB22" s="94" t="s">
        <v>288</v>
      </c>
      <c r="AC22" s="94" t="s">
        <v>289</v>
      </c>
    </row>
    <row r="23" spans="1:29" s="65" customFormat="1" ht="15" thickBot="1" x14ac:dyDescent="0.35">
      <c r="A23" s="223"/>
      <c r="C23" s="6" t="s">
        <v>22</v>
      </c>
      <c r="D23" s="139"/>
      <c r="E23" s="139"/>
      <c r="F23" s="139"/>
      <c r="G23" s="139"/>
      <c r="H23" s="139"/>
      <c r="I23" s="139"/>
      <c r="L23" s="22">
        <v>48227444</v>
      </c>
      <c r="M23" s="22">
        <v>58005583</v>
      </c>
      <c r="N23" s="22">
        <v>63143385</v>
      </c>
      <c r="O23" s="22">
        <v>68481638</v>
      </c>
      <c r="P23" s="22">
        <v>61827425</v>
      </c>
      <c r="Q23" s="22">
        <v>66165674</v>
      </c>
      <c r="R23" s="22">
        <v>74870569</v>
      </c>
      <c r="W23" s="65">
        <f t="shared" si="0"/>
        <v>1</v>
      </c>
      <c r="X23" s="100" t="s">
        <v>22</v>
      </c>
      <c r="Y23" s="92" t="s">
        <v>33</v>
      </c>
      <c r="Z23" s="92" t="s">
        <v>290</v>
      </c>
      <c r="AA23" s="92" t="s">
        <v>291</v>
      </c>
      <c r="AB23" s="92" t="s">
        <v>292</v>
      </c>
      <c r="AC23" s="92" t="s">
        <v>293</v>
      </c>
    </row>
    <row r="24" spans="1:29" s="65" customFormat="1" ht="15" thickBot="1" x14ac:dyDescent="0.35">
      <c r="A24" s="223"/>
      <c r="C24" s="6" t="s">
        <v>23</v>
      </c>
      <c r="D24" s="139"/>
      <c r="E24" s="139"/>
      <c r="F24" s="139"/>
      <c r="G24" s="139"/>
      <c r="H24" s="139"/>
      <c r="I24" s="139"/>
      <c r="L24" s="22">
        <v>2305075</v>
      </c>
      <c r="M24" s="22">
        <v>3313614</v>
      </c>
      <c r="N24" s="22">
        <v>208169</v>
      </c>
      <c r="O24" s="22">
        <v>-205244</v>
      </c>
      <c r="P24" s="22">
        <v>-558613</v>
      </c>
      <c r="Q24" s="22">
        <f>Q15-Q23</f>
        <v>-1857877</v>
      </c>
      <c r="R24" s="22">
        <f>R15-R23</f>
        <v>-871791</v>
      </c>
      <c r="W24" s="65">
        <f t="shared" si="0"/>
        <v>1</v>
      </c>
      <c r="X24" s="100" t="s">
        <v>23</v>
      </c>
      <c r="Y24" s="92" t="s">
        <v>33</v>
      </c>
      <c r="Z24" s="92" t="s">
        <v>294</v>
      </c>
      <c r="AA24" s="92" t="s">
        <v>295</v>
      </c>
      <c r="AB24" s="92" t="s">
        <v>296</v>
      </c>
      <c r="AC24" s="92" t="s">
        <v>297</v>
      </c>
    </row>
    <row r="25" spans="1:29" s="65" customFormat="1" ht="15" thickBot="1" x14ac:dyDescent="0.35">
      <c r="A25" s="223"/>
      <c r="C25" s="4" t="s">
        <v>24</v>
      </c>
      <c r="D25" s="164"/>
      <c r="E25" s="164"/>
      <c r="F25" s="164"/>
      <c r="G25" s="164"/>
      <c r="H25" s="164"/>
      <c r="I25" s="164"/>
      <c r="L25" s="21">
        <v>489027</v>
      </c>
      <c r="M25" s="21">
        <v>2860836</v>
      </c>
      <c r="N25" s="21">
        <v>2535521</v>
      </c>
      <c r="O25" s="21">
        <v>2565592</v>
      </c>
      <c r="P25" s="21">
        <v>1478299</v>
      </c>
      <c r="Q25" s="21"/>
      <c r="R25" s="21"/>
      <c r="W25" s="65">
        <f t="shared" si="0"/>
        <v>0</v>
      </c>
      <c r="X25" s="99" t="s">
        <v>298</v>
      </c>
      <c r="Y25" s="94" t="s">
        <v>33</v>
      </c>
      <c r="Z25" s="94" t="s">
        <v>299</v>
      </c>
      <c r="AA25" s="94" t="s">
        <v>299</v>
      </c>
      <c r="AB25" s="94" t="s">
        <v>300</v>
      </c>
      <c r="AC25" s="94" t="s">
        <v>301</v>
      </c>
    </row>
    <row r="26" spans="1:29" s="65" customFormat="1" ht="15" thickBot="1" x14ac:dyDescent="0.35">
      <c r="A26" s="223"/>
      <c r="C26" s="4" t="s">
        <v>25</v>
      </c>
      <c r="D26" s="164"/>
      <c r="E26" s="164"/>
      <c r="F26" s="164"/>
      <c r="G26" s="164"/>
      <c r="H26" s="164"/>
      <c r="I26" s="164"/>
      <c r="L26" s="21">
        <v>2093733</v>
      </c>
      <c r="M26" s="21">
        <v>2479</v>
      </c>
      <c r="N26" s="21">
        <v>331889</v>
      </c>
      <c r="O26" s="21">
        <v>40040</v>
      </c>
      <c r="P26" s="21">
        <v>333096</v>
      </c>
      <c r="Q26" s="21"/>
      <c r="R26" s="21"/>
      <c r="W26" s="65">
        <f t="shared" si="0"/>
        <v>0</v>
      </c>
      <c r="X26" s="99" t="s">
        <v>302</v>
      </c>
      <c r="Y26" s="94" t="s">
        <v>33</v>
      </c>
      <c r="Z26" s="94" t="s">
        <v>28</v>
      </c>
      <c r="AA26" s="94" t="s">
        <v>28</v>
      </c>
      <c r="AB26" s="94" t="s">
        <v>28</v>
      </c>
      <c r="AC26" s="94" t="s">
        <v>303</v>
      </c>
    </row>
    <row r="27" spans="1:29" s="65" customFormat="1" ht="15" thickBot="1" x14ac:dyDescent="0.35">
      <c r="A27" s="223"/>
      <c r="C27" s="6" t="s">
        <v>26</v>
      </c>
      <c r="D27" s="139"/>
      <c r="E27" s="139"/>
      <c r="F27" s="139"/>
      <c r="G27" s="139"/>
      <c r="H27" s="139"/>
      <c r="I27" s="139"/>
      <c r="L27" s="22">
        <v>4887835</v>
      </c>
      <c r="M27" s="22">
        <v>6176929</v>
      </c>
      <c r="N27" s="22">
        <v>3075578</v>
      </c>
      <c r="O27" s="22">
        <v>2400387</v>
      </c>
      <c r="P27" s="22">
        <v>1252782</v>
      </c>
      <c r="Q27" s="22"/>
      <c r="R27" s="22"/>
      <c r="W27" s="65">
        <f t="shared" si="0"/>
        <v>1</v>
      </c>
      <c r="X27" s="100" t="s">
        <v>26</v>
      </c>
      <c r="Y27" s="92" t="s">
        <v>33</v>
      </c>
      <c r="Z27" s="92" t="s">
        <v>304</v>
      </c>
      <c r="AA27" s="92" t="s">
        <v>305</v>
      </c>
      <c r="AB27" s="92" t="s">
        <v>306</v>
      </c>
      <c r="AC27" s="92" t="s">
        <v>307</v>
      </c>
    </row>
    <row r="28" spans="1:29" s="65" customFormat="1" ht="15" thickBot="1" x14ac:dyDescent="0.35">
      <c r="A28" s="223"/>
      <c r="C28" s="4" t="s">
        <v>27</v>
      </c>
      <c r="D28" s="164"/>
      <c r="E28" s="164"/>
      <c r="F28" s="164"/>
      <c r="G28" s="164"/>
      <c r="H28" s="164"/>
      <c r="I28" s="164"/>
      <c r="L28" s="21" t="s">
        <v>28</v>
      </c>
      <c r="M28" s="21" t="s">
        <v>28</v>
      </c>
      <c r="N28" s="21" t="s">
        <v>28</v>
      </c>
      <c r="O28" s="21" t="s">
        <v>28</v>
      </c>
      <c r="P28" s="21" t="s">
        <v>28</v>
      </c>
      <c r="Q28" s="21"/>
      <c r="R28" s="21"/>
      <c r="W28" s="65">
        <f t="shared" si="0"/>
        <v>1</v>
      </c>
      <c r="X28" s="99" t="s">
        <v>27</v>
      </c>
      <c r="Y28" s="94" t="s">
        <v>33</v>
      </c>
      <c r="Z28" s="94" t="s">
        <v>308</v>
      </c>
      <c r="AA28" s="94" t="s">
        <v>308</v>
      </c>
      <c r="AB28" s="94" t="s">
        <v>309</v>
      </c>
      <c r="AC28" s="94" t="s">
        <v>28</v>
      </c>
    </row>
    <row r="29" spans="1:29" s="65" customFormat="1" ht="15" thickBot="1" x14ac:dyDescent="0.35">
      <c r="A29" s="223"/>
      <c r="C29" s="6" t="s">
        <v>29</v>
      </c>
      <c r="D29" s="139"/>
      <c r="E29" s="139"/>
      <c r="F29" s="139"/>
      <c r="G29" s="139"/>
      <c r="H29" s="139"/>
      <c r="I29" s="139"/>
      <c r="L29" s="22">
        <v>4887835</v>
      </c>
      <c r="M29" s="22">
        <v>6176929</v>
      </c>
      <c r="N29" s="22">
        <v>3075578</v>
      </c>
      <c r="O29" s="22">
        <v>2400387</v>
      </c>
      <c r="P29" s="22">
        <v>1252782</v>
      </c>
      <c r="Q29" s="22">
        <v>-1150894</v>
      </c>
      <c r="R29" s="22">
        <v>-277731</v>
      </c>
      <c r="W29" s="65">
        <f t="shared" si="0"/>
        <v>1</v>
      </c>
      <c r="X29" s="100" t="s">
        <v>29</v>
      </c>
      <c r="Y29" s="92" t="s">
        <v>33</v>
      </c>
      <c r="Z29" s="92" t="s">
        <v>310</v>
      </c>
      <c r="AA29" s="92" t="s">
        <v>311</v>
      </c>
      <c r="AB29" s="92" t="s">
        <v>312</v>
      </c>
      <c r="AC29" s="92" t="s">
        <v>307</v>
      </c>
    </row>
    <row r="30" spans="1:29" s="65" customFormat="1" ht="15" thickBot="1" x14ac:dyDescent="0.35">
      <c r="A30" s="223"/>
      <c r="C30" s="13" t="s">
        <v>30</v>
      </c>
      <c r="D30" s="139"/>
      <c r="E30" s="139"/>
      <c r="F30" s="139"/>
      <c r="G30" s="139"/>
      <c r="H30" s="139"/>
      <c r="I30" s="139"/>
      <c r="L30" s="24"/>
      <c r="M30" s="23"/>
      <c r="N30" s="23"/>
      <c r="O30" s="23"/>
      <c r="P30" s="23"/>
      <c r="Q30" s="23"/>
      <c r="R30" s="23"/>
      <c r="W30" s="65">
        <f t="shared" si="0"/>
        <v>1</v>
      </c>
      <c r="X30" s="18" t="s">
        <v>30</v>
      </c>
      <c r="Y30" s="19"/>
      <c r="Z30" s="19"/>
      <c r="AA30" s="19"/>
      <c r="AB30" s="19"/>
      <c r="AC30" s="20"/>
    </row>
    <row r="31" spans="1:29" s="65" customFormat="1" ht="15" thickBot="1" x14ac:dyDescent="0.35">
      <c r="A31" s="223"/>
      <c r="C31" s="6" t="s">
        <v>31</v>
      </c>
      <c r="D31" s="139"/>
      <c r="E31" s="139"/>
      <c r="F31" s="139"/>
      <c r="G31" s="139"/>
      <c r="H31" s="139"/>
      <c r="I31" s="139"/>
      <c r="L31" s="22">
        <v>5096885</v>
      </c>
      <c r="M31" s="22">
        <v>244182</v>
      </c>
      <c r="N31" s="22">
        <v>5784231</v>
      </c>
      <c r="O31" s="22">
        <v>6098440</v>
      </c>
      <c r="P31" s="22">
        <v>6645902</v>
      </c>
      <c r="Q31" s="22">
        <v>6545157</v>
      </c>
      <c r="R31" s="22">
        <v>7648451</v>
      </c>
      <c r="W31" s="65">
        <f t="shared" si="0"/>
        <v>1</v>
      </c>
      <c r="X31" s="100" t="s">
        <v>31</v>
      </c>
      <c r="Y31" s="92" t="s">
        <v>33</v>
      </c>
      <c r="Z31" s="92" t="s">
        <v>313</v>
      </c>
      <c r="AA31" s="92" t="s">
        <v>313</v>
      </c>
      <c r="AB31" s="92" t="s">
        <v>314</v>
      </c>
      <c r="AC31" s="92" t="s">
        <v>315</v>
      </c>
    </row>
    <row r="32" spans="1:29" s="65" customFormat="1" ht="15" thickBot="1" x14ac:dyDescent="0.35">
      <c r="A32" s="223"/>
      <c r="C32" s="4" t="s">
        <v>24</v>
      </c>
      <c r="D32" s="164"/>
      <c r="E32" s="164"/>
      <c r="F32" s="164"/>
      <c r="G32" s="164"/>
      <c r="H32" s="164"/>
      <c r="I32" s="164"/>
      <c r="L32" s="21">
        <v>1761233</v>
      </c>
      <c r="M32" s="21" t="s">
        <v>28</v>
      </c>
      <c r="N32" s="21">
        <v>3086384</v>
      </c>
      <c r="O32" s="21">
        <v>2867611</v>
      </c>
      <c r="P32" s="21">
        <v>2484791</v>
      </c>
      <c r="Q32" s="21"/>
      <c r="R32" s="21"/>
      <c r="W32" s="65">
        <f t="shared" si="0"/>
        <v>1</v>
      </c>
      <c r="X32" s="99" t="s">
        <v>24</v>
      </c>
      <c r="Y32" s="94" t="s">
        <v>33</v>
      </c>
      <c r="Z32" s="94" t="s">
        <v>316</v>
      </c>
      <c r="AA32" s="94" t="s">
        <v>316</v>
      </c>
      <c r="AB32" s="94" t="s">
        <v>317</v>
      </c>
      <c r="AC32" s="94" t="s">
        <v>318</v>
      </c>
    </row>
    <row r="33" spans="1:29" s="65" customFormat="1" ht="15" thickBot="1" x14ac:dyDescent="0.35">
      <c r="A33" s="223"/>
      <c r="C33" s="4" t="s">
        <v>32</v>
      </c>
      <c r="D33" s="164"/>
      <c r="E33" s="164"/>
      <c r="F33" s="164"/>
      <c r="G33" s="164"/>
      <c r="H33" s="164"/>
      <c r="I33" s="164"/>
      <c r="L33" s="21" t="s">
        <v>33</v>
      </c>
      <c r="M33" s="21" t="s">
        <v>33</v>
      </c>
      <c r="N33" s="21" t="s">
        <v>33</v>
      </c>
      <c r="O33" s="21" t="s">
        <v>33</v>
      </c>
      <c r="P33" s="21" t="s">
        <v>33</v>
      </c>
      <c r="Q33" s="21"/>
      <c r="R33" s="21"/>
      <c r="X33" s="99"/>
      <c r="Y33" s="94"/>
      <c r="Z33" s="94"/>
      <c r="AA33" s="94"/>
      <c r="AB33" s="94"/>
      <c r="AC33" s="94"/>
    </row>
    <row r="34" spans="1:29" s="65" customFormat="1" ht="15" thickBot="1" x14ac:dyDescent="0.35">
      <c r="A34" s="223"/>
      <c r="C34" s="4" t="s">
        <v>34</v>
      </c>
      <c r="D34" s="164"/>
      <c r="E34" s="164"/>
      <c r="F34" s="164"/>
      <c r="G34" s="164"/>
      <c r="H34" s="164"/>
      <c r="I34" s="164"/>
      <c r="L34" s="21" t="s">
        <v>28</v>
      </c>
      <c r="M34" s="21" t="s">
        <v>28</v>
      </c>
      <c r="N34" s="21">
        <v>1858409</v>
      </c>
      <c r="O34" s="21">
        <v>1992501</v>
      </c>
      <c r="P34" s="21">
        <v>2034550</v>
      </c>
      <c r="Q34" s="21"/>
      <c r="R34" s="21"/>
      <c r="W34" s="65">
        <f t="shared" ref="W34:W55" si="1">IF(C34=X34,1,0)</f>
        <v>1</v>
      </c>
      <c r="X34" s="99" t="s">
        <v>34</v>
      </c>
      <c r="Y34" s="94" t="s">
        <v>33</v>
      </c>
      <c r="Z34" s="94" t="s">
        <v>319</v>
      </c>
      <c r="AA34" s="94" t="s">
        <v>319</v>
      </c>
      <c r="AB34" s="94" t="s">
        <v>320</v>
      </c>
      <c r="AC34" s="94" t="s">
        <v>321</v>
      </c>
    </row>
    <row r="35" spans="1:29" s="65" customFormat="1" ht="15" thickBot="1" x14ac:dyDescent="0.35">
      <c r="A35" s="223"/>
      <c r="C35" s="4" t="s">
        <v>35</v>
      </c>
      <c r="D35" s="164"/>
      <c r="E35" s="164"/>
      <c r="F35" s="164"/>
      <c r="G35" s="164"/>
      <c r="H35" s="164"/>
      <c r="I35" s="164"/>
      <c r="L35" s="21">
        <v>3292160</v>
      </c>
      <c r="M35" s="21" t="s">
        <v>28</v>
      </c>
      <c r="N35" s="21">
        <v>726089</v>
      </c>
      <c r="O35" s="21">
        <v>1236497</v>
      </c>
      <c r="P35" s="21">
        <v>2126560</v>
      </c>
      <c r="Q35" s="21"/>
      <c r="R35" s="21"/>
      <c r="W35" s="65">
        <f t="shared" si="1"/>
        <v>1</v>
      </c>
      <c r="X35" s="99" t="s">
        <v>35</v>
      </c>
      <c r="Y35" s="94" t="s">
        <v>33</v>
      </c>
      <c r="Z35" s="94" t="s">
        <v>322</v>
      </c>
      <c r="AA35" s="94" t="s">
        <v>322</v>
      </c>
      <c r="AB35" s="94" t="s">
        <v>323</v>
      </c>
      <c r="AC35" s="94" t="s">
        <v>324</v>
      </c>
    </row>
    <row r="36" spans="1:29" s="65" customFormat="1" ht="15" thickBot="1" x14ac:dyDescent="0.35">
      <c r="A36" s="223"/>
      <c r="C36" s="6" t="s">
        <v>36</v>
      </c>
      <c r="D36" s="139"/>
      <c r="E36" s="139"/>
      <c r="F36" s="139"/>
      <c r="G36" s="139"/>
      <c r="H36" s="139"/>
      <c r="I36" s="139"/>
      <c r="L36" s="22">
        <v>5053393</v>
      </c>
      <c r="M36" s="22" t="s">
        <v>28</v>
      </c>
      <c r="N36" s="22">
        <v>5670881</v>
      </c>
      <c r="O36" s="22">
        <v>6096608</v>
      </c>
      <c r="P36" s="22">
        <v>6645902</v>
      </c>
      <c r="Q36" s="22"/>
      <c r="R36" s="22"/>
      <c r="W36" s="65">
        <f t="shared" si="1"/>
        <v>1</v>
      </c>
      <c r="X36" s="100" t="s">
        <v>36</v>
      </c>
      <c r="Y36" s="92" t="s">
        <v>33</v>
      </c>
      <c r="Z36" s="92" t="s">
        <v>313</v>
      </c>
      <c r="AA36" s="92" t="s">
        <v>313</v>
      </c>
      <c r="AB36" s="92" t="s">
        <v>325</v>
      </c>
      <c r="AC36" s="92" t="s">
        <v>326</v>
      </c>
    </row>
    <row r="37" spans="1:29" s="65" customFormat="1" ht="15" thickBot="1" x14ac:dyDescent="0.35">
      <c r="A37" s="223"/>
      <c r="C37" s="13" t="s">
        <v>37</v>
      </c>
      <c r="D37" s="139"/>
      <c r="E37" s="139"/>
      <c r="F37" s="139"/>
      <c r="G37" s="139"/>
      <c r="H37" s="139"/>
      <c r="I37" s="139"/>
      <c r="L37" s="24"/>
      <c r="M37" s="23"/>
      <c r="N37" s="23"/>
      <c r="O37" s="23"/>
      <c r="P37" s="23"/>
      <c r="Q37" s="23"/>
      <c r="R37" s="23"/>
      <c r="W37" s="65">
        <f t="shared" si="1"/>
        <v>1</v>
      </c>
      <c r="X37" s="96" t="s">
        <v>37</v>
      </c>
      <c r="Y37" s="97"/>
      <c r="Z37" s="97"/>
      <c r="AA37" s="97"/>
      <c r="AB37" s="97"/>
      <c r="AC37" s="98"/>
    </row>
    <row r="38" spans="1:29" s="65" customFormat="1" ht="15" thickBot="1" x14ac:dyDescent="0.35">
      <c r="A38" s="223"/>
      <c r="C38" s="4" t="s">
        <v>38</v>
      </c>
      <c r="D38" s="164"/>
      <c r="E38" s="164"/>
      <c r="F38" s="164"/>
      <c r="G38" s="164"/>
      <c r="H38" s="164"/>
      <c r="I38" s="164"/>
      <c r="L38" s="21">
        <v>45364799</v>
      </c>
      <c r="M38" s="21">
        <v>42739910</v>
      </c>
      <c r="N38" s="21">
        <v>44152444</v>
      </c>
      <c r="O38" s="21">
        <v>28482738</v>
      </c>
      <c r="P38" s="21">
        <v>38678893</v>
      </c>
      <c r="Q38" s="21">
        <v>16731870</v>
      </c>
      <c r="R38" s="21">
        <v>16159875</v>
      </c>
      <c r="W38" s="65">
        <f t="shared" si="1"/>
        <v>1</v>
      </c>
      <c r="X38" s="99" t="s">
        <v>38</v>
      </c>
      <c r="Y38" s="94" t="s">
        <v>33</v>
      </c>
      <c r="Z38" s="94" t="s">
        <v>327</v>
      </c>
      <c r="AA38" s="94" t="s">
        <v>327</v>
      </c>
      <c r="AB38" s="94" t="s">
        <v>328</v>
      </c>
      <c r="AC38" s="94" t="s">
        <v>329</v>
      </c>
    </row>
    <row r="39" spans="1:29" s="65" customFormat="1" ht="15" thickBot="1" x14ac:dyDescent="0.35">
      <c r="A39" s="223"/>
      <c r="C39" s="4" t="s">
        <v>39</v>
      </c>
      <c r="D39" s="164"/>
      <c r="E39" s="164"/>
      <c r="F39" s="164"/>
      <c r="G39" s="164"/>
      <c r="H39" s="164"/>
      <c r="I39" s="164"/>
      <c r="L39" s="21">
        <v>58642240</v>
      </c>
      <c r="M39" s="21">
        <v>92748911</v>
      </c>
      <c r="N39" s="21">
        <v>92293792</v>
      </c>
      <c r="O39" s="21">
        <v>96080812</v>
      </c>
      <c r="P39" s="21">
        <v>89317238</v>
      </c>
      <c r="Q39" s="21">
        <v>87647437</v>
      </c>
      <c r="R39" s="21">
        <v>93410004</v>
      </c>
      <c r="W39" s="65">
        <f t="shared" si="1"/>
        <v>1</v>
      </c>
      <c r="X39" s="99" t="s">
        <v>39</v>
      </c>
      <c r="Y39" s="94" t="s">
        <v>33</v>
      </c>
      <c r="Z39" s="94" t="s">
        <v>330</v>
      </c>
      <c r="AA39" s="94" t="s">
        <v>330</v>
      </c>
      <c r="AB39" s="94" t="s">
        <v>331</v>
      </c>
      <c r="AC39" s="94" t="s">
        <v>332</v>
      </c>
    </row>
    <row r="40" spans="1:29" s="65" customFormat="1" ht="15" thickBot="1" x14ac:dyDescent="0.35">
      <c r="A40" s="223"/>
      <c r="C40" s="4" t="s">
        <v>40</v>
      </c>
      <c r="D40" s="164"/>
      <c r="E40" s="164"/>
      <c r="F40" s="164"/>
      <c r="G40" s="164"/>
      <c r="H40" s="164"/>
      <c r="I40" s="164"/>
      <c r="L40" s="21">
        <v>26118312</v>
      </c>
      <c r="M40" s="21">
        <v>43469074</v>
      </c>
      <c r="N40" s="21">
        <v>42609267</v>
      </c>
      <c r="O40" s="21">
        <v>25578246</v>
      </c>
      <c r="P40" s="21">
        <v>42970627</v>
      </c>
      <c r="Q40" s="21">
        <v>21576882</v>
      </c>
      <c r="R40" s="21">
        <v>26453051</v>
      </c>
      <c r="W40" s="65">
        <f t="shared" si="1"/>
        <v>1</v>
      </c>
      <c r="X40" s="99" t="s">
        <v>40</v>
      </c>
      <c r="Y40" s="94" t="s">
        <v>33</v>
      </c>
      <c r="Z40" s="94" t="s">
        <v>333</v>
      </c>
      <c r="AA40" s="94" t="s">
        <v>334</v>
      </c>
      <c r="AB40" s="94" t="s">
        <v>335</v>
      </c>
      <c r="AC40" s="94" t="s">
        <v>336</v>
      </c>
    </row>
    <row r="41" spans="1:29" s="65" customFormat="1" ht="15" thickBot="1" x14ac:dyDescent="0.35">
      <c r="A41" s="223"/>
      <c r="C41" s="4" t="s">
        <v>41</v>
      </c>
      <c r="D41" s="164"/>
      <c r="E41" s="164"/>
      <c r="F41" s="164"/>
      <c r="G41" s="164"/>
      <c r="H41" s="164"/>
      <c r="I41" s="164"/>
      <c r="L41" s="21">
        <v>32320087</v>
      </c>
      <c r="M41" s="21">
        <v>39187324</v>
      </c>
      <c r="N41" s="21">
        <v>38286506</v>
      </c>
      <c r="O41" s="21">
        <v>40439631</v>
      </c>
      <c r="P41" s="21">
        <v>25771454</v>
      </c>
      <c r="Q41" s="21">
        <v>26182577</v>
      </c>
      <c r="R41" s="21">
        <v>26740516</v>
      </c>
      <c r="W41" s="65">
        <f t="shared" si="1"/>
        <v>1</v>
      </c>
      <c r="X41" s="99" t="s">
        <v>41</v>
      </c>
      <c r="Y41" s="94" t="s">
        <v>33</v>
      </c>
      <c r="Z41" s="94" t="s">
        <v>337</v>
      </c>
      <c r="AA41" s="94" t="s">
        <v>337</v>
      </c>
      <c r="AB41" s="94" t="s">
        <v>338</v>
      </c>
      <c r="AC41" s="94" t="s">
        <v>339</v>
      </c>
    </row>
    <row r="42" spans="1:29" s="65" customFormat="1" ht="15" thickBot="1" x14ac:dyDescent="0.35">
      <c r="A42" s="223"/>
      <c r="C42" s="6" t="s">
        <v>42</v>
      </c>
      <c r="D42" s="139"/>
      <c r="E42" s="139"/>
      <c r="F42" s="139"/>
      <c r="G42" s="139"/>
      <c r="H42" s="139"/>
      <c r="I42" s="139"/>
      <c r="L42" s="22">
        <v>40933794</v>
      </c>
      <c r="M42" s="22">
        <v>46666856</v>
      </c>
      <c r="N42" s="22">
        <v>52409148</v>
      </c>
      <c r="O42" s="22">
        <v>56054445</v>
      </c>
      <c r="P42" s="22">
        <v>58181585</v>
      </c>
      <c r="Q42" s="22">
        <v>56619848</v>
      </c>
      <c r="R42" s="22">
        <v>56376312</v>
      </c>
      <c r="W42" s="65">
        <f t="shared" si="1"/>
        <v>1</v>
      </c>
      <c r="X42" s="100" t="s">
        <v>42</v>
      </c>
      <c r="Y42" s="92" t="s">
        <v>33</v>
      </c>
      <c r="Z42" s="92" t="s">
        <v>340</v>
      </c>
      <c r="AA42" s="92" t="s">
        <v>340</v>
      </c>
      <c r="AB42" s="92" t="s">
        <v>341</v>
      </c>
      <c r="AC42" s="92" t="s">
        <v>342</v>
      </c>
    </row>
    <row r="43" spans="1:29" s="65" customFormat="1" ht="15" thickBot="1" x14ac:dyDescent="0.35">
      <c r="A43" s="223"/>
      <c r="C43" s="13" t="s">
        <v>43</v>
      </c>
      <c r="D43" s="139"/>
      <c r="E43" s="139"/>
      <c r="F43" s="139"/>
      <c r="G43" s="139"/>
      <c r="H43" s="139"/>
      <c r="I43" s="139"/>
      <c r="L43" s="24"/>
      <c r="M43" s="23"/>
      <c r="N43" s="23"/>
      <c r="O43" s="23"/>
      <c r="P43" s="23"/>
      <c r="Q43" s="23"/>
      <c r="R43" s="23"/>
      <c r="W43" s="65">
        <f t="shared" si="1"/>
        <v>1</v>
      </c>
      <c r="X43" s="96" t="s">
        <v>43</v>
      </c>
      <c r="Y43" s="97"/>
      <c r="Z43" s="97"/>
      <c r="AA43" s="97"/>
      <c r="AB43" s="97"/>
      <c r="AC43" s="98"/>
    </row>
    <row r="44" spans="1:29" s="65" customFormat="1" ht="15" thickBot="1" x14ac:dyDescent="0.35">
      <c r="A44" s="223"/>
      <c r="C44" s="4" t="s">
        <v>44</v>
      </c>
      <c r="D44" s="164"/>
      <c r="E44" s="164"/>
      <c r="F44" s="164"/>
      <c r="G44" s="164"/>
      <c r="H44" s="164"/>
      <c r="I44" s="164"/>
      <c r="L44" s="21">
        <v>-1522</v>
      </c>
      <c r="M44" s="21">
        <v>1555042</v>
      </c>
      <c r="N44" s="21">
        <v>53970905</v>
      </c>
      <c r="O44" s="21">
        <v>68794095</v>
      </c>
      <c r="P44" s="21">
        <v>4072951</v>
      </c>
      <c r="Q44" s="21">
        <v>6385648</v>
      </c>
      <c r="R44" s="21">
        <v>8468287</v>
      </c>
      <c r="W44" s="65">
        <f t="shared" si="1"/>
        <v>1</v>
      </c>
      <c r="X44" s="99" t="s">
        <v>44</v>
      </c>
      <c r="Y44" s="94" t="s">
        <v>33</v>
      </c>
      <c r="Z44" s="94" t="s">
        <v>343</v>
      </c>
      <c r="AA44" s="94" t="s">
        <v>343</v>
      </c>
      <c r="AB44" s="94" t="s">
        <v>344</v>
      </c>
      <c r="AC44" s="94" t="s">
        <v>345</v>
      </c>
    </row>
    <row r="45" spans="1:29" s="65" customFormat="1" ht="15" thickBot="1" x14ac:dyDescent="0.35">
      <c r="A45" s="223"/>
      <c r="C45" s="4" t="s">
        <v>45</v>
      </c>
      <c r="D45" s="164"/>
      <c r="E45" s="164"/>
      <c r="F45" s="164"/>
      <c r="G45" s="164"/>
      <c r="H45" s="164"/>
      <c r="I45" s="164"/>
      <c r="L45" s="21">
        <v>-99022</v>
      </c>
      <c r="M45" s="21">
        <v>41818</v>
      </c>
      <c r="N45" s="21">
        <v>433</v>
      </c>
      <c r="O45" s="21">
        <v>1951</v>
      </c>
      <c r="P45" s="21" t="s">
        <v>28</v>
      </c>
      <c r="Q45" s="21">
        <v>-4364023</v>
      </c>
      <c r="R45" s="21">
        <v>8339557</v>
      </c>
      <c r="W45" s="65">
        <f t="shared" si="1"/>
        <v>1</v>
      </c>
      <c r="X45" s="99" t="s">
        <v>45</v>
      </c>
      <c r="Y45" s="94" t="s">
        <v>33</v>
      </c>
      <c r="Z45" s="94" t="s">
        <v>28</v>
      </c>
      <c r="AA45" s="94" t="s">
        <v>28</v>
      </c>
      <c r="AB45" s="94" t="s">
        <v>346</v>
      </c>
      <c r="AC45" s="94">
        <v>433</v>
      </c>
    </row>
    <row r="46" spans="1:29" s="65" customFormat="1" ht="15" thickBot="1" x14ac:dyDescent="0.35">
      <c r="A46" s="223"/>
      <c r="C46" s="4" t="s">
        <v>46</v>
      </c>
      <c r="D46" s="164"/>
      <c r="E46" s="164"/>
      <c r="F46" s="164"/>
      <c r="G46" s="164"/>
      <c r="H46" s="164"/>
      <c r="I46" s="164"/>
      <c r="L46" s="21">
        <v>626644</v>
      </c>
      <c r="M46" s="21">
        <v>418372</v>
      </c>
      <c r="N46" s="21">
        <v>938467</v>
      </c>
      <c r="O46" s="21">
        <v>579781</v>
      </c>
      <c r="P46" s="21" t="s">
        <v>28</v>
      </c>
      <c r="Q46" s="21">
        <v>-1815157</v>
      </c>
      <c r="R46" s="21">
        <v>-2018183</v>
      </c>
      <c r="W46" s="65">
        <f t="shared" si="1"/>
        <v>1</v>
      </c>
      <c r="X46" s="99" t="s">
        <v>46</v>
      </c>
      <c r="Y46" s="94" t="s">
        <v>33</v>
      </c>
      <c r="Z46" s="94" t="s">
        <v>28</v>
      </c>
      <c r="AA46" s="94" t="s">
        <v>28</v>
      </c>
      <c r="AB46" s="94" t="s">
        <v>347</v>
      </c>
      <c r="AC46" s="94" t="s">
        <v>348</v>
      </c>
    </row>
    <row r="47" spans="1:29" s="65" customFormat="1" ht="15" thickBot="1" x14ac:dyDescent="0.35">
      <c r="A47" s="223"/>
      <c r="C47" s="6" t="s">
        <v>47</v>
      </c>
      <c r="D47" s="139"/>
      <c r="E47" s="139"/>
      <c r="F47" s="139"/>
      <c r="G47" s="139"/>
      <c r="H47" s="139"/>
      <c r="I47" s="139"/>
      <c r="L47" s="22">
        <v>850829</v>
      </c>
      <c r="M47" s="22">
        <v>2186150</v>
      </c>
      <c r="N47" s="22">
        <v>55899056</v>
      </c>
      <c r="O47" s="22">
        <v>75453398</v>
      </c>
      <c r="P47" s="22">
        <v>4722549</v>
      </c>
      <c r="Q47" s="22">
        <v>4055310</v>
      </c>
      <c r="R47" s="22">
        <v>2165857</v>
      </c>
      <c r="W47" s="65">
        <f t="shared" si="1"/>
        <v>1</v>
      </c>
      <c r="X47" s="100" t="s">
        <v>47</v>
      </c>
      <c r="Y47" s="92" t="s">
        <v>33</v>
      </c>
      <c r="Z47" s="92" t="s">
        <v>349</v>
      </c>
      <c r="AA47" s="92" t="s">
        <v>349</v>
      </c>
      <c r="AB47" s="92" t="s">
        <v>350</v>
      </c>
      <c r="AC47" s="92" t="s">
        <v>351</v>
      </c>
    </row>
    <row r="48" spans="1:29" s="65" customFormat="1" ht="15" customHeight="1" thickBot="1" x14ac:dyDescent="0.35">
      <c r="A48" s="223"/>
      <c r="B48" s="186"/>
      <c r="C48" s="18" t="s">
        <v>530</v>
      </c>
      <c r="D48" s="165"/>
      <c r="E48" s="165"/>
      <c r="F48" s="165"/>
      <c r="G48" s="165"/>
      <c r="H48" s="165"/>
      <c r="I48" s="165"/>
      <c r="L48" s="24"/>
      <c r="M48" s="23"/>
      <c r="N48" s="23"/>
      <c r="O48" s="23"/>
      <c r="P48" s="23"/>
      <c r="Q48" s="23"/>
      <c r="R48" s="23"/>
      <c r="W48" s="65">
        <f t="shared" si="1"/>
        <v>0</v>
      </c>
      <c r="X48" s="96" t="s">
        <v>48</v>
      </c>
      <c r="Y48" s="97"/>
      <c r="Z48" s="97"/>
      <c r="AA48" s="97"/>
      <c r="AB48" s="97"/>
      <c r="AC48" s="98"/>
    </row>
    <row r="49" spans="1:29" s="65" customFormat="1" ht="15" thickBot="1" x14ac:dyDescent="0.35">
      <c r="A49" s="223"/>
      <c r="B49" s="186"/>
      <c r="C49" s="4" t="s">
        <v>49</v>
      </c>
      <c r="D49" s="21">
        <v>1184</v>
      </c>
      <c r="E49" s="21">
        <v>2932</v>
      </c>
      <c r="F49" s="21">
        <f>1144*0+13372</f>
        <v>13372</v>
      </c>
      <c r="G49" s="21">
        <v>4147</v>
      </c>
      <c r="H49" s="21">
        <v>2288</v>
      </c>
      <c r="I49" s="21">
        <v>1552</v>
      </c>
      <c r="J49" s="21">
        <v>7441</v>
      </c>
      <c r="K49" s="21">
        <v>147931</v>
      </c>
      <c r="L49" s="21">
        <v>435476</v>
      </c>
      <c r="M49" s="21">
        <v>493867</v>
      </c>
      <c r="N49" s="21">
        <v>682146</v>
      </c>
      <c r="O49" s="21">
        <v>1199590</v>
      </c>
      <c r="P49" s="21">
        <v>1305578</v>
      </c>
      <c r="Q49" s="126">
        <v>4186313</v>
      </c>
      <c r="R49" s="126">
        <v>8976417</v>
      </c>
      <c r="W49" s="65">
        <f t="shared" si="1"/>
        <v>1</v>
      </c>
      <c r="X49" s="99" t="s">
        <v>49</v>
      </c>
      <c r="Y49" s="94" t="s">
        <v>33</v>
      </c>
      <c r="Z49" s="94">
        <v>1289984</v>
      </c>
      <c r="AA49" s="94" t="s">
        <v>353</v>
      </c>
      <c r="AB49" s="94" t="s">
        <v>354</v>
      </c>
      <c r="AC49" s="94" t="s">
        <v>355</v>
      </c>
    </row>
    <row r="50" spans="1:29" s="65" customFormat="1" ht="15" thickBot="1" x14ac:dyDescent="0.35">
      <c r="A50" s="223"/>
      <c r="B50" s="186"/>
      <c r="C50" s="4" t="s">
        <v>527</v>
      </c>
      <c r="D50" s="21"/>
      <c r="E50" s="21"/>
      <c r="F50" s="21"/>
      <c r="G50" s="21"/>
      <c r="H50" s="21"/>
      <c r="I50" s="21"/>
      <c r="J50" s="21"/>
      <c r="K50" s="21"/>
      <c r="L50" s="21"/>
      <c r="M50" s="21"/>
      <c r="N50" s="21"/>
      <c r="O50" s="21">
        <v>-387560</v>
      </c>
      <c r="P50" s="21">
        <v>-805</v>
      </c>
      <c r="Q50" s="126">
        <f>'Unauthorised Expenditure by Typ'!D52</f>
        <v>-1708149</v>
      </c>
      <c r="R50" s="126">
        <f>'Unauthorised Expenditure by Typ'!E52</f>
        <v>-1526123</v>
      </c>
      <c r="X50" s="99"/>
      <c r="Y50" s="94"/>
      <c r="Z50" s="94"/>
      <c r="AA50" s="94"/>
      <c r="AB50" s="94"/>
      <c r="AC50" s="94"/>
    </row>
    <row r="51" spans="1:29" s="65" customFormat="1" ht="15" thickBot="1" x14ac:dyDescent="0.35">
      <c r="A51" s="223"/>
      <c r="B51" s="186"/>
      <c r="C51" s="4" t="s">
        <v>50</v>
      </c>
      <c r="D51" s="21">
        <v>156859</v>
      </c>
      <c r="E51" s="21">
        <v>93714</v>
      </c>
      <c r="F51" s="21">
        <f>167144*0+148904</f>
        <v>148904</v>
      </c>
      <c r="G51" s="21">
        <v>3855</v>
      </c>
      <c r="H51" s="21">
        <v>0</v>
      </c>
      <c r="I51" s="21">
        <v>959322</v>
      </c>
      <c r="J51" s="21">
        <v>692587</v>
      </c>
      <c r="K51" s="21">
        <v>674673</v>
      </c>
      <c r="L51" s="21">
        <v>1644262</v>
      </c>
      <c r="M51" s="21">
        <v>2131507</v>
      </c>
      <c r="N51" s="21">
        <v>3105187</v>
      </c>
      <c r="O51" s="21">
        <v>2670906</v>
      </c>
      <c r="P51" s="21">
        <v>3174643</v>
      </c>
      <c r="Q51" s="21">
        <v>2084392</v>
      </c>
      <c r="R51" s="21">
        <v>3510097</v>
      </c>
      <c r="W51" s="65">
        <f t="shared" si="1"/>
        <v>1</v>
      </c>
      <c r="X51" s="99" t="s">
        <v>50</v>
      </c>
      <c r="Y51" s="94" t="s">
        <v>33</v>
      </c>
      <c r="Z51" s="94">
        <v>811433</v>
      </c>
      <c r="AA51" s="94" t="s">
        <v>357</v>
      </c>
      <c r="AB51" s="94" t="s">
        <v>358</v>
      </c>
      <c r="AC51" s="94" t="s">
        <v>359</v>
      </c>
    </row>
    <row r="52" spans="1:29" s="65" customFormat="1" ht="15" thickBot="1" x14ac:dyDescent="0.35">
      <c r="A52" s="223"/>
      <c r="B52" s="186"/>
      <c r="C52" s="4" t="s">
        <v>51</v>
      </c>
      <c r="D52" s="169">
        <v>1836</v>
      </c>
      <c r="E52" s="169">
        <v>456195</v>
      </c>
      <c r="F52" s="169">
        <f>348568*0+620878</f>
        <v>620878</v>
      </c>
      <c r="G52" s="169">
        <v>216979</v>
      </c>
      <c r="H52" s="169">
        <v>54311</v>
      </c>
      <c r="I52" s="169">
        <v>245270</v>
      </c>
      <c r="J52" s="169">
        <v>219944</v>
      </c>
      <c r="K52" s="169">
        <v>1255569</v>
      </c>
      <c r="L52" s="169">
        <v>51696</v>
      </c>
      <c r="M52" s="169">
        <v>184602</v>
      </c>
      <c r="N52" s="169">
        <v>67925</v>
      </c>
      <c r="O52" s="169">
        <v>247855</v>
      </c>
      <c r="P52" s="169">
        <v>500302</v>
      </c>
      <c r="Q52" s="169">
        <v>128778</v>
      </c>
      <c r="R52" s="169">
        <v>322101</v>
      </c>
      <c r="W52" s="65">
        <f t="shared" si="1"/>
        <v>1</v>
      </c>
      <c r="X52" s="99" t="s">
        <v>51</v>
      </c>
      <c r="Y52" s="94" t="s">
        <v>33</v>
      </c>
      <c r="Z52" s="94" t="s">
        <v>360</v>
      </c>
      <c r="AA52" s="94" t="s">
        <v>361</v>
      </c>
      <c r="AB52" s="94" t="s">
        <v>362</v>
      </c>
      <c r="AC52" s="94" t="s">
        <v>363</v>
      </c>
    </row>
    <row r="53" spans="1:29" s="65" customFormat="1" ht="15" thickBot="1" x14ac:dyDescent="0.35">
      <c r="A53" s="223"/>
      <c r="B53" s="186"/>
      <c r="C53" s="168" t="s">
        <v>524</v>
      </c>
      <c r="D53" s="172">
        <f t="shared" ref="D53:R53" si="2">SUM(D49:D52)</f>
        <v>159879</v>
      </c>
      <c r="E53" s="172">
        <f t="shared" si="2"/>
        <v>552841</v>
      </c>
      <c r="F53" s="172">
        <f t="shared" si="2"/>
        <v>783154</v>
      </c>
      <c r="G53" s="172">
        <f t="shared" si="2"/>
        <v>224981</v>
      </c>
      <c r="H53" s="172">
        <f t="shared" si="2"/>
        <v>56599</v>
      </c>
      <c r="I53" s="172">
        <f t="shared" si="2"/>
        <v>1206144</v>
      </c>
      <c r="J53" s="172">
        <f t="shared" si="2"/>
        <v>919972</v>
      </c>
      <c r="K53" s="172">
        <f t="shared" si="2"/>
        <v>2078173</v>
      </c>
      <c r="L53" s="172">
        <f t="shared" si="2"/>
        <v>2131434</v>
      </c>
      <c r="M53" s="172">
        <f t="shared" si="2"/>
        <v>2809976</v>
      </c>
      <c r="N53" s="172">
        <f t="shared" si="2"/>
        <v>3855258</v>
      </c>
      <c r="O53" s="172">
        <f t="shared" si="2"/>
        <v>3730791</v>
      </c>
      <c r="P53" s="172">
        <f t="shared" si="2"/>
        <v>4979718</v>
      </c>
      <c r="Q53" s="172">
        <f t="shared" si="2"/>
        <v>4691334</v>
      </c>
      <c r="R53" s="172">
        <f t="shared" si="2"/>
        <v>11282492</v>
      </c>
      <c r="X53" s="170"/>
      <c r="Y53" s="102"/>
      <c r="Z53" s="102"/>
      <c r="AA53" s="102"/>
      <c r="AB53" s="102"/>
      <c r="AC53" s="102"/>
    </row>
    <row r="54" spans="1:29" s="65" customFormat="1" ht="29.4" thickTop="1" x14ac:dyDescent="0.3">
      <c r="A54" s="223"/>
      <c r="C54" s="111" t="s">
        <v>52</v>
      </c>
      <c r="D54" s="166"/>
      <c r="E54" s="166"/>
      <c r="F54" s="166"/>
      <c r="G54" s="166"/>
      <c r="H54" s="166"/>
      <c r="I54" s="166"/>
      <c r="L54" s="171" t="s">
        <v>53</v>
      </c>
      <c r="M54" s="8" t="s">
        <v>53</v>
      </c>
      <c r="N54" s="8" t="s">
        <v>53</v>
      </c>
      <c r="O54" s="8" t="s">
        <v>53</v>
      </c>
      <c r="P54" s="8" t="s">
        <v>53</v>
      </c>
      <c r="Q54" s="8" t="s">
        <v>455</v>
      </c>
      <c r="R54" s="8" t="s">
        <v>455</v>
      </c>
      <c r="W54" s="65">
        <f t="shared" si="1"/>
        <v>1</v>
      </c>
      <c r="X54" s="109" t="s">
        <v>52</v>
      </c>
      <c r="Y54" s="102"/>
      <c r="Z54" s="102" t="s">
        <v>53</v>
      </c>
      <c r="AA54" s="102" t="s">
        <v>53</v>
      </c>
      <c r="AB54" s="102" t="s">
        <v>53</v>
      </c>
      <c r="AC54" s="102" t="s">
        <v>53</v>
      </c>
    </row>
    <row r="55" spans="1:29" s="65" customFormat="1" ht="15" thickBot="1" x14ac:dyDescent="0.35">
      <c r="A55" s="223"/>
      <c r="C55" s="112"/>
      <c r="D55" s="166"/>
      <c r="E55" s="166"/>
      <c r="F55" s="166"/>
      <c r="G55" s="166"/>
      <c r="H55" s="166"/>
      <c r="I55" s="166"/>
      <c r="L55" s="9" t="s">
        <v>56</v>
      </c>
      <c r="M55" s="9" t="s">
        <v>56</v>
      </c>
      <c r="N55" s="9" t="s">
        <v>55</v>
      </c>
      <c r="O55" s="9" t="s">
        <v>55</v>
      </c>
      <c r="P55" s="9" t="s">
        <v>54</v>
      </c>
      <c r="Q55" s="9"/>
      <c r="R55" s="9"/>
      <c r="W55" s="65">
        <f t="shared" si="1"/>
        <v>1</v>
      </c>
      <c r="X55" s="110"/>
      <c r="Y55" s="104"/>
      <c r="Z55" s="104" t="s">
        <v>364</v>
      </c>
      <c r="AA55" s="104" t="s">
        <v>364</v>
      </c>
      <c r="AB55" s="104" t="s">
        <v>365</v>
      </c>
      <c r="AC55" s="104" t="s">
        <v>55</v>
      </c>
    </row>
    <row r="56" spans="1:29" s="65" customFormat="1" x14ac:dyDescent="0.3">
      <c r="L56" s="185">
        <f>L182</f>
        <v>2131434</v>
      </c>
      <c r="M56" s="185">
        <f>M182</f>
        <v>2809976</v>
      </c>
      <c r="N56" s="185">
        <f>N182</f>
        <v>3855258</v>
      </c>
      <c r="O56" s="185">
        <f>O182</f>
        <v>3730791</v>
      </c>
      <c r="P56" s="185">
        <f>P182</f>
        <v>4979718</v>
      </c>
    </row>
    <row r="57" spans="1:29" s="65" customFormat="1" x14ac:dyDescent="0.3"/>
    <row r="58" spans="1:29" s="65" customFormat="1" x14ac:dyDescent="0.3"/>
    <row r="59" spans="1:29" s="65" customFormat="1" x14ac:dyDescent="0.3">
      <c r="C59" s="114" t="s">
        <v>58</v>
      </c>
      <c r="D59" s="114"/>
      <c r="E59" s="114"/>
      <c r="F59" s="114"/>
      <c r="G59" s="114"/>
      <c r="H59" s="114"/>
      <c r="I59" s="114"/>
    </row>
    <row r="60" spans="1:29" s="65" customFormat="1" x14ac:dyDescent="0.3"/>
    <row r="61" spans="1:29" s="65" customFormat="1" x14ac:dyDescent="0.3"/>
    <row r="62" spans="1:29" s="65" customFormat="1" x14ac:dyDescent="0.3">
      <c r="A62" s="224" t="str">
        <f>C62</f>
        <v>Finance Common Size Analysis</v>
      </c>
      <c r="C62" s="119" t="s">
        <v>97</v>
      </c>
      <c r="D62" s="119"/>
      <c r="E62" s="119"/>
      <c r="F62" s="119"/>
      <c r="G62" s="119"/>
      <c r="H62" s="119"/>
      <c r="I62" s="119"/>
    </row>
    <row r="63" spans="1:29" s="65" customFormat="1" x14ac:dyDescent="0.3">
      <c r="A63" s="224"/>
      <c r="C63" s="119" t="s">
        <v>60</v>
      </c>
      <c r="D63" s="119"/>
      <c r="E63" s="119"/>
      <c r="F63" s="119"/>
      <c r="G63" s="119"/>
      <c r="H63" s="119"/>
      <c r="I63" s="119"/>
    </row>
    <row r="64" spans="1:29" s="65" customFormat="1" ht="15" thickBot="1" x14ac:dyDescent="0.35">
      <c r="A64" s="224"/>
      <c r="J64" s="117" t="str">
        <f>J7</f>
        <v>2015/16</v>
      </c>
      <c r="K64" s="117" t="str">
        <f t="shared" ref="K64:R64" si="3">K7</f>
        <v>2016/17</v>
      </c>
      <c r="L64" s="117" t="str">
        <f t="shared" si="3"/>
        <v>2017/18</v>
      </c>
      <c r="M64" s="117" t="str">
        <f t="shared" si="3"/>
        <v>2018/19</v>
      </c>
      <c r="N64" s="117" t="str">
        <f t="shared" si="3"/>
        <v>2019/20</v>
      </c>
      <c r="O64" s="117" t="str">
        <f t="shared" si="3"/>
        <v>2020/21</v>
      </c>
      <c r="P64" s="117" t="str">
        <f t="shared" si="3"/>
        <v>2021/22</v>
      </c>
      <c r="Q64" s="117" t="str">
        <f t="shared" si="3"/>
        <v>2022/23</v>
      </c>
      <c r="R64" s="117" t="str">
        <f t="shared" si="3"/>
        <v>2023/24</v>
      </c>
    </row>
    <row r="65" spans="1:18" s="65" customFormat="1" ht="15" thickBot="1" x14ac:dyDescent="0.35">
      <c r="A65" s="224"/>
      <c r="C65" s="13" t="s">
        <v>8</v>
      </c>
      <c r="D65" s="139"/>
      <c r="E65" s="139"/>
      <c r="F65" s="139"/>
      <c r="G65" s="139"/>
      <c r="H65" s="139"/>
      <c r="I65" s="139"/>
      <c r="L65" s="15"/>
      <c r="M65" s="14"/>
      <c r="N65" s="14"/>
      <c r="O65" s="14"/>
      <c r="P65" s="14"/>
      <c r="Q65" s="14"/>
      <c r="R65" s="14"/>
    </row>
    <row r="66" spans="1:18" s="65" customFormat="1" ht="15" thickBot="1" x14ac:dyDescent="0.35">
      <c r="A66" s="224"/>
      <c r="C66" s="4" t="s">
        <v>9</v>
      </c>
      <c r="D66" s="164"/>
      <c r="E66" s="164"/>
      <c r="F66" s="164"/>
      <c r="G66" s="164"/>
      <c r="H66" s="164"/>
      <c r="I66" s="164"/>
      <c r="L66" s="17">
        <f t="shared" ref="L66:O83" si="4">IFERROR(L10/L$15,0)</f>
        <v>0.19789603205808917</v>
      </c>
      <c r="M66" s="17">
        <f t="shared" si="4"/>
        <v>0.20176356843029108</v>
      </c>
      <c r="N66" s="17">
        <f t="shared" si="4"/>
        <v>0.19814519467036279</v>
      </c>
      <c r="O66" s="17">
        <f t="shared" si="4"/>
        <v>0.19091960246172346</v>
      </c>
      <c r="P66" s="17">
        <f t="shared" ref="P66:R83" si="5">IFERROR(P10/P$15,0)</f>
        <v>0.22037618781275189</v>
      </c>
      <c r="Q66" s="17">
        <f t="shared" si="5"/>
        <v>0.21847867063460438</v>
      </c>
      <c r="R66" s="17">
        <f t="shared" si="5"/>
        <v>0.2270165191106264</v>
      </c>
    </row>
    <row r="67" spans="1:18" s="65" customFormat="1" ht="15" thickBot="1" x14ac:dyDescent="0.35">
      <c r="A67" s="224"/>
      <c r="C67" s="4" t="s">
        <v>10</v>
      </c>
      <c r="D67" s="164"/>
      <c r="E67" s="164"/>
      <c r="F67" s="164"/>
      <c r="G67" s="164"/>
      <c r="H67" s="164"/>
      <c r="I67" s="164"/>
      <c r="L67" s="17">
        <f t="shared" si="4"/>
        <v>0.50611025347855709</v>
      </c>
      <c r="M67" s="17">
        <f t="shared" si="4"/>
        <v>0.4652939926789974</v>
      </c>
      <c r="N67" s="17">
        <f t="shared" si="4"/>
        <v>0.48188726357051953</v>
      </c>
      <c r="O67" s="17">
        <f t="shared" si="4"/>
        <v>0.47052458570087929</v>
      </c>
      <c r="P67" s="17">
        <f t="shared" si="5"/>
        <v>0.5426479877339222</v>
      </c>
      <c r="Q67" s="17">
        <f t="shared" si="5"/>
        <v>0.5080867099210381</v>
      </c>
      <c r="R67" s="17">
        <f t="shared" si="5"/>
        <v>0.51266326316902155</v>
      </c>
    </row>
    <row r="68" spans="1:18" s="65" customFormat="1" ht="15" thickBot="1" x14ac:dyDescent="0.35">
      <c r="A68" s="224"/>
      <c r="C68" s="4" t="s">
        <v>11</v>
      </c>
      <c r="D68" s="164"/>
      <c r="E68" s="164"/>
      <c r="F68" s="164"/>
      <c r="G68" s="164"/>
      <c r="H68" s="164"/>
      <c r="I68" s="164"/>
      <c r="L68" s="17">
        <f t="shared" si="4"/>
        <v>1.0701405959991823E-2</v>
      </c>
      <c r="M68" s="17">
        <f t="shared" si="4"/>
        <v>8.7392370777458154E-3</v>
      </c>
      <c r="N68" s="17">
        <f t="shared" si="4"/>
        <v>5.735644622071938E-3</v>
      </c>
      <c r="O68" s="17">
        <f t="shared" si="4"/>
        <v>4.13738897809981E-3</v>
      </c>
      <c r="P68" s="17">
        <f t="shared" si="5"/>
        <v>3.2465294617843978E-3</v>
      </c>
      <c r="Q68" s="17">
        <f t="shared" si="5"/>
        <v>2.4066599575787054E-3</v>
      </c>
      <c r="R68" s="17">
        <f t="shared" si="5"/>
        <v>2.8625607844497106E-3</v>
      </c>
    </row>
    <row r="69" spans="1:18" s="65" customFormat="1" ht="15" thickBot="1" x14ac:dyDescent="0.35">
      <c r="A69" s="224"/>
      <c r="C69" s="4" t="s">
        <v>12</v>
      </c>
      <c r="D69" s="164"/>
      <c r="E69" s="164"/>
      <c r="F69" s="164"/>
      <c r="G69" s="164"/>
      <c r="H69" s="164"/>
      <c r="I69" s="164"/>
      <c r="L69" s="17">
        <f t="shared" si="4"/>
        <v>0.16362192432955897</v>
      </c>
      <c r="M69" s="17">
        <f t="shared" si="4"/>
        <v>0.20651027116353138</v>
      </c>
      <c r="N69" s="17">
        <f t="shared" si="4"/>
        <v>0.21018090574384332</v>
      </c>
      <c r="O69" s="17">
        <f t="shared" si="4"/>
        <v>0.21932967051540536</v>
      </c>
      <c r="P69" s="17">
        <f t="shared" si="5"/>
        <v>0.17495898524944445</v>
      </c>
      <c r="Q69" s="17">
        <f t="shared" si="5"/>
        <v>0.14613004080982592</v>
      </c>
      <c r="R69" s="17">
        <f t="shared" si="5"/>
        <v>0.141104965273886</v>
      </c>
    </row>
    <row r="70" spans="1:18" s="65" customFormat="1" ht="15" thickBot="1" x14ac:dyDescent="0.35">
      <c r="A70" s="224"/>
      <c r="C70" s="4" t="s">
        <v>13</v>
      </c>
      <c r="D70" s="164"/>
      <c r="E70" s="164"/>
      <c r="F70" s="164"/>
      <c r="G70" s="164"/>
      <c r="H70" s="164"/>
      <c r="I70" s="164"/>
      <c r="L70" s="17">
        <f t="shared" si="4"/>
        <v>0.12167040396304012</v>
      </c>
      <c r="M70" s="17">
        <f t="shared" si="4"/>
        <v>0.11769291434132773</v>
      </c>
      <c r="N70" s="17">
        <f t="shared" si="4"/>
        <v>0.10405100717813488</v>
      </c>
      <c r="O70" s="17">
        <f t="shared" si="4"/>
        <v>0.11508873769754155</v>
      </c>
      <c r="P70" s="17">
        <f t="shared" si="5"/>
        <v>5.8770293420579031E-2</v>
      </c>
      <c r="Q70" s="17">
        <f t="shared" si="5"/>
        <v>0.12489791867695296</v>
      </c>
      <c r="R70" s="17">
        <f t="shared" si="5"/>
        <v>0.11635269166201637</v>
      </c>
    </row>
    <row r="71" spans="1:18" s="65" customFormat="1" ht="15" thickBot="1" x14ac:dyDescent="0.35">
      <c r="A71" s="224"/>
      <c r="C71" s="6" t="s">
        <v>14</v>
      </c>
      <c r="D71" s="139"/>
      <c r="E71" s="139"/>
      <c r="F71" s="139"/>
      <c r="G71" s="139"/>
      <c r="H71" s="139"/>
      <c r="I71" s="139"/>
      <c r="L71" s="25">
        <f t="shared" si="4"/>
        <v>1</v>
      </c>
      <c r="M71" s="25">
        <f t="shared" si="4"/>
        <v>1</v>
      </c>
      <c r="N71" s="25">
        <f t="shared" si="4"/>
        <v>1</v>
      </c>
      <c r="O71" s="25">
        <f t="shared" si="4"/>
        <v>1</v>
      </c>
      <c r="P71" s="25">
        <f t="shared" si="5"/>
        <v>1</v>
      </c>
      <c r="Q71" s="25">
        <f t="shared" si="5"/>
        <v>1</v>
      </c>
      <c r="R71" s="25">
        <f t="shared" si="5"/>
        <v>1</v>
      </c>
    </row>
    <row r="72" spans="1:18" s="65" customFormat="1" ht="15" thickBot="1" x14ac:dyDescent="0.35">
      <c r="A72" s="224"/>
      <c r="C72" s="4" t="s">
        <v>15</v>
      </c>
      <c r="D72" s="164"/>
      <c r="E72" s="164"/>
      <c r="F72" s="164"/>
      <c r="G72" s="164"/>
      <c r="H72" s="164"/>
      <c r="I72" s="164"/>
      <c r="L72" s="17">
        <f t="shared" si="4"/>
        <v>0.23017574089271109</v>
      </c>
      <c r="M72" s="17">
        <f t="shared" si="4"/>
        <v>0.22106095094493816</v>
      </c>
      <c r="N72" s="17">
        <f t="shared" si="4"/>
        <v>0.23444259946646298</v>
      </c>
      <c r="O72" s="17">
        <f t="shared" si="4"/>
        <v>0.23207019398241799</v>
      </c>
      <c r="P72" s="17">
        <f t="shared" si="5"/>
        <v>0.25716968785309052</v>
      </c>
      <c r="Q72" s="17">
        <f t="shared" si="5"/>
        <v>0.27389614979346905</v>
      </c>
      <c r="R72" s="17">
        <f t="shared" si="5"/>
        <v>0.26167675363503978</v>
      </c>
    </row>
    <row r="73" spans="1:18" s="65" customFormat="1" ht="15" thickBot="1" x14ac:dyDescent="0.35">
      <c r="A73" s="224"/>
      <c r="C73" s="4" t="s">
        <v>16</v>
      </c>
      <c r="D73" s="164"/>
      <c r="E73" s="164"/>
      <c r="F73" s="164"/>
      <c r="G73" s="164"/>
      <c r="H73" s="164"/>
      <c r="I73" s="164"/>
      <c r="L73" s="17">
        <f t="shared" si="4"/>
        <v>3.3681875229691202E-3</v>
      </c>
      <c r="M73" s="17">
        <f t="shared" si="4"/>
        <v>2.6433483791381026E-3</v>
      </c>
      <c r="N73" s="17">
        <f t="shared" si="4"/>
        <v>2.6244975774390631E-3</v>
      </c>
      <c r="O73" s="17">
        <f t="shared" si="4"/>
        <v>2.4622712207091665E-3</v>
      </c>
      <c r="P73" s="17">
        <f t="shared" si="5"/>
        <v>2.6692373710336895E-3</v>
      </c>
      <c r="Q73" s="17">
        <f t="shared" si="5"/>
        <v>2.8096282010717922E-3</v>
      </c>
      <c r="R73" s="17">
        <f t="shared" si="5"/>
        <v>2.538136508146121E-3</v>
      </c>
    </row>
    <row r="74" spans="1:18" s="65" customFormat="1" ht="15" thickBot="1" x14ac:dyDescent="0.35">
      <c r="A74" s="224"/>
      <c r="C74" s="4" t="s">
        <v>17</v>
      </c>
      <c r="D74" s="164"/>
      <c r="E74" s="164"/>
      <c r="F74" s="164"/>
      <c r="G74" s="164"/>
      <c r="H74" s="164"/>
      <c r="I74" s="164"/>
      <c r="L74" s="17">
        <f t="shared" si="4"/>
        <v>6.2302178128107961E-2</v>
      </c>
      <c r="M74" s="17">
        <f t="shared" si="4"/>
        <v>5.4568310801591219E-2</v>
      </c>
      <c r="N74" s="17">
        <f t="shared" si="4"/>
        <v>5.1995251766041917E-2</v>
      </c>
      <c r="O74" s="17">
        <f t="shared" si="4"/>
        <v>5.8551671607027164E-2</v>
      </c>
      <c r="P74" s="17">
        <f t="shared" si="5"/>
        <v>6.1483876355948867E-2</v>
      </c>
      <c r="Q74" s="17">
        <f t="shared" si="5"/>
        <v>6.5614967342140493E-2</v>
      </c>
      <c r="R74" s="17">
        <f t="shared" si="5"/>
        <v>6.0407173210346797E-2</v>
      </c>
    </row>
    <row r="75" spans="1:18" s="65" customFormat="1" ht="15" thickBot="1" x14ac:dyDescent="0.35">
      <c r="A75" s="224"/>
      <c r="C75" s="4" t="s">
        <v>18</v>
      </c>
      <c r="D75" s="164"/>
      <c r="E75" s="164"/>
      <c r="F75" s="164"/>
      <c r="G75" s="164"/>
      <c r="H75" s="164"/>
      <c r="I75" s="164"/>
      <c r="L75" s="17">
        <f t="shared" si="4"/>
        <v>5.7737454172826809E-2</v>
      </c>
      <c r="M75" s="17">
        <f t="shared" si="4"/>
        <v>5.7517158941269242E-2</v>
      </c>
      <c r="N75" s="17">
        <f t="shared" si="4"/>
        <v>6.1337942870351686E-2</v>
      </c>
      <c r="O75" s="17">
        <f t="shared" si="4"/>
        <v>5.543339034571744E-2</v>
      </c>
      <c r="P75" s="17">
        <f t="shared" si="5"/>
        <v>4.4823164595115123E-2</v>
      </c>
      <c r="Q75" s="17">
        <f t="shared" si="5"/>
        <v>4.2439239521764364E-2</v>
      </c>
      <c r="R75" s="17">
        <f t="shared" si="5"/>
        <v>3.9924078205723884E-2</v>
      </c>
    </row>
    <row r="76" spans="1:18" s="65" customFormat="1" ht="15" thickBot="1" x14ac:dyDescent="0.35">
      <c r="A76" s="224"/>
      <c r="C76" s="4" t="s">
        <v>19</v>
      </c>
      <c r="D76" s="164"/>
      <c r="E76" s="164"/>
      <c r="F76" s="164"/>
      <c r="G76" s="164"/>
      <c r="H76" s="164"/>
      <c r="I76" s="164"/>
      <c r="L76" s="17">
        <f t="shared" si="4"/>
        <v>0.33087182928680042</v>
      </c>
      <c r="M76" s="17">
        <f t="shared" si="4"/>
        <v>0.27415239961475685</v>
      </c>
      <c r="N76" s="17">
        <f t="shared" si="4"/>
        <v>0.28516929513678546</v>
      </c>
      <c r="O76" s="17">
        <f t="shared" si="4"/>
        <v>0.27338374079919919</v>
      </c>
      <c r="P76" s="17">
        <f t="shared" si="5"/>
        <v>0.34192387053177842</v>
      </c>
      <c r="Q76" s="17">
        <f t="shared" si="5"/>
        <v>0.33533209044620205</v>
      </c>
      <c r="R76" s="17">
        <f t="shared" si="5"/>
        <v>0.340032534050765</v>
      </c>
    </row>
    <row r="77" spans="1:18" s="65" customFormat="1" ht="15" thickBot="1" x14ac:dyDescent="0.35">
      <c r="A77" s="224"/>
      <c r="C77" s="4" t="s">
        <v>20</v>
      </c>
      <c r="D77" s="164"/>
      <c r="E77" s="164"/>
      <c r="F77" s="164"/>
      <c r="G77" s="164"/>
      <c r="H77" s="164"/>
      <c r="I77" s="164"/>
      <c r="L77" s="17">
        <f t="shared" si="4"/>
        <v>6.2328576970405924E-3</v>
      </c>
      <c r="M77" s="17">
        <f t="shared" si="4"/>
        <v>2.335907953915313E-3</v>
      </c>
      <c r="N77" s="17">
        <f t="shared" si="4"/>
        <v>7.61986043783551E-2</v>
      </c>
      <c r="O77" s="17">
        <f t="shared" si="4"/>
        <v>6.1663039790882924E-2</v>
      </c>
      <c r="P77" s="17">
        <f t="shared" si="5"/>
        <v>2.3563538714665116E-3</v>
      </c>
      <c r="Q77" s="17">
        <f t="shared" si="5"/>
        <v>1.6121373276089678E-3</v>
      </c>
      <c r="R77" s="17">
        <f t="shared" si="5"/>
        <v>8.6087908100320246E-4</v>
      </c>
    </row>
    <row r="78" spans="1:18" s="65" customFormat="1" ht="15" thickBot="1" x14ac:dyDescent="0.35">
      <c r="A78" s="224"/>
      <c r="C78" s="4" t="s">
        <v>21</v>
      </c>
      <c r="D78" s="164"/>
      <c r="E78" s="164"/>
      <c r="F78" s="164"/>
      <c r="G78" s="164"/>
      <c r="H78" s="164"/>
      <c r="I78" s="164"/>
      <c r="L78" s="17">
        <f t="shared" si="4"/>
        <v>0.26369609636915192</v>
      </c>
      <c r="M78" s="17">
        <f t="shared" si="4"/>
        <v>0.3336831530915188</v>
      </c>
      <c r="N78" s="17">
        <f t="shared" si="4"/>
        <v>0.28494587520299819</v>
      </c>
      <c r="O78" s="17">
        <f t="shared" si="4"/>
        <v>0.31944176782388362</v>
      </c>
      <c r="P78" s="17">
        <f t="shared" si="5"/>
        <v>0.29869120522022208</v>
      </c>
      <c r="Q78" s="17">
        <f t="shared" si="5"/>
        <v>0.30718617215265515</v>
      </c>
      <c r="R78" s="17">
        <f t="shared" si="5"/>
        <v>0.30634159931668059</v>
      </c>
    </row>
    <row r="79" spans="1:18" s="65" customFormat="1" ht="15" thickBot="1" x14ac:dyDescent="0.35">
      <c r="A79" s="224"/>
      <c r="C79" s="6" t="s">
        <v>22</v>
      </c>
      <c r="D79" s="139"/>
      <c r="E79" s="139"/>
      <c r="F79" s="139"/>
      <c r="G79" s="139"/>
      <c r="H79" s="139"/>
      <c r="I79" s="139"/>
      <c r="L79" s="25">
        <f t="shared" si="4"/>
        <v>0.95438432428037079</v>
      </c>
      <c r="M79" s="25">
        <f t="shared" si="4"/>
        <v>0.94596122972712771</v>
      </c>
      <c r="N79" s="25">
        <f t="shared" si="4"/>
        <v>0.99671406639843441</v>
      </c>
      <c r="O79" s="25">
        <f t="shared" si="4"/>
        <v>1.0030060755698376</v>
      </c>
      <c r="P79" s="25">
        <f t="shared" si="5"/>
        <v>1.0091174284416911</v>
      </c>
      <c r="Q79" s="25">
        <f t="shared" si="5"/>
        <v>1.0288903847849118</v>
      </c>
      <c r="R79" s="25">
        <f t="shared" si="5"/>
        <v>1.0117811540077053</v>
      </c>
    </row>
    <row r="80" spans="1:18" s="65" customFormat="1" ht="15" thickBot="1" x14ac:dyDescent="0.35">
      <c r="A80" s="224"/>
      <c r="C80" s="6" t="s">
        <v>23</v>
      </c>
      <c r="D80" s="139"/>
      <c r="E80" s="139"/>
      <c r="F80" s="139"/>
      <c r="G80" s="139"/>
      <c r="H80" s="139"/>
      <c r="I80" s="139"/>
      <c r="L80" s="25">
        <f t="shared" si="4"/>
        <v>4.5615675719629177E-2</v>
      </c>
      <c r="M80" s="25">
        <f t="shared" si="4"/>
        <v>5.4038770272872294E-2</v>
      </c>
      <c r="N80" s="25">
        <f t="shared" si="4"/>
        <v>3.285933601565638E-3</v>
      </c>
      <c r="O80" s="25">
        <f t="shared" si="4"/>
        <v>-3.0060755698375049E-3</v>
      </c>
      <c r="P80" s="25">
        <f t="shared" si="5"/>
        <v>-9.1174121201731823E-3</v>
      </c>
      <c r="Q80" s="25">
        <f t="shared" si="5"/>
        <v>-2.8890384784911852E-2</v>
      </c>
      <c r="R80" s="25">
        <f t="shared" si="5"/>
        <v>-1.1781154007705371E-2</v>
      </c>
    </row>
    <row r="81" spans="1:18" s="65" customFormat="1" ht="15" thickBot="1" x14ac:dyDescent="0.35">
      <c r="A81" s="224"/>
      <c r="C81" s="4" t="s">
        <v>24</v>
      </c>
      <c r="D81" s="164"/>
      <c r="E81" s="164"/>
      <c r="F81" s="164"/>
      <c r="G81" s="164"/>
      <c r="H81" s="164"/>
      <c r="I81" s="164"/>
      <c r="L81" s="17">
        <f t="shared" si="4"/>
        <v>9.6774712537089237E-3</v>
      </c>
      <c r="M81" s="17">
        <f t="shared" si="4"/>
        <v>4.6654818392354358E-2</v>
      </c>
      <c r="N81" s="17">
        <f t="shared" si="4"/>
        <v>4.0023027690844017E-2</v>
      </c>
      <c r="O81" s="17">
        <f t="shared" si="4"/>
        <v>3.757655976969141E-2</v>
      </c>
      <c r="P81" s="17">
        <f t="shared" si="5"/>
        <v>2.4128083699877904E-2</v>
      </c>
      <c r="Q81" s="17">
        <f t="shared" si="5"/>
        <v>0</v>
      </c>
      <c r="R81" s="17">
        <f t="shared" si="5"/>
        <v>0</v>
      </c>
    </row>
    <row r="82" spans="1:18" s="65" customFormat="1" ht="15" thickBot="1" x14ac:dyDescent="0.35">
      <c r="A82" s="224"/>
      <c r="C82" s="4" t="s">
        <v>25</v>
      </c>
      <c r="D82" s="164"/>
      <c r="E82" s="164"/>
      <c r="F82" s="164"/>
      <c r="G82" s="164"/>
      <c r="H82" s="164"/>
      <c r="I82" s="164"/>
      <c r="L82" s="17">
        <f t="shared" si="4"/>
        <v>4.1433378771400652E-2</v>
      </c>
      <c r="M82" s="17">
        <f t="shared" si="4"/>
        <v>4.0427796208746833E-5</v>
      </c>
      <c r="N82" s="17">
        <f t="shared" si="4"/>
        <v>5.2388454433177755E-3</v>
      </c>
      <c r="O82" s="17">
        <f t="shared" si="4"/>
        <v>5.8643987554468679E-4</v>
      </c>
      <c r="P82" s="17">
        <f t="shared" si="5"/>
        <v>5.4366323511647711E-3</v>
      </c>
      <c r="Q82" s="17">
        <f t="shared" si="5"/>
        <v>0</v>
      </c>
      <c r="R82" s="17">
        <f t="shared" si="5"/>
        <v>0</v>
      </c>
    </row>
    <row r="83" spans="1:18" s="65" customFormat="1" ht="15" thickBot="1" x14ac:dyDescent="0.35">
      <c r="A83" s="224"/>
      <c r="C83" s="6" t="s">
        <v>26</v>
      </c>
      <c r="D83" s="139"/>
      <c r="E83" s="139"/>
      <c r="F83" s="139"/>
      <c r="G83" s="139"/>
      <c r="H83" s="139"/>
      <c r="I83" s="139"/>
      <c r="L83" s="25">
        <f t="shared" si="4"/>
        <v>9.6726525744738751E-2</v>
      </c>
      <c r="M83" s="25">
        <f t="shared" si="4"/>
        <v>0.1007340164614354</v>
      </c>
      <c r="N83" s="25">
        <f t="shared" si="4"/>
        <v>4.8547790950794985E-2</v>
      </c>
      <c r="O83" s="25">
        <f t="shared" si="4"/>
        <v>3.5156909429048054E-2</v>
      </c>
      <c r="P83" s="25">
        <f t="shared" si="5"/>
        <v>2.0447303930869493E-2</v>
      </c>
      <c r="Q83" s="25">
        <f t="shared" si="5"/>
        <v>0</v>
      </c>
      <c r="R83" s="25">
        <f t="shared" si="5"/>
        <v>0</v>
      </c>
    </row>
    <row r="84" spans="1:18" s="65" customFormat="1" ht="15" thickBot="1" x14ac:dyDescent="0.35">
      <c r="A84" s="224"/>
      <c r="C84" s="4" t="s">
        <v>27</v>
      </c>
      <c r="D84" s="164"/>
      <c r="E84" s="164"/>
      <c r="F84" s="164"/>
      <c r="G84" s="164"/>
      <c r="H84" s="164"/>
      <c r="I84" s="164"/>
      <c r="L84" s="7" t="s">
        <v>28</v>
      </c>
      <c r="M84" s="7" t="s">
        <v>28</v>
      </c>
      <c r="N84" s="7" t="s">
        <v>28</v>
      </c>
      <c r="O84" s="7" t="s">
        <v>28</v>
      </c>
      <c r="P84" s="7" t="s">
        <v>28</v>
      </c>
      <c r="Q84" s="7" t="s">
        <v>28</v>
      </c>
      <c r="R84" s="7" t="s">
        <v>28</v>
      </c>
    </row>
    <row r="85" spans="1:18" s="65" customFormat="1" ht="15" thickBot="1" x14ac:dyDescent="0.35">
      <c r="A85" s="224"/>
      <c r="C85" s="6" t="s">
        <v>29</v>
      </c>
      <c r="D85" s="139"/>
      <c r="E85" s="139"/>
      <c r="F85" s="139"/>
      <c r="G85" s="139"/>
      <c r="H85" s="139"/>
      <c r="I85" s="139"/>
      <c r="L85" s="25">
        <f t="shared" ref="L85:R85" si="6">IFERROR(L29/L$15,0)</f>
        <v>9.6726525744738751E-2</v>
      </c>
      <c r="M85" s="25">
        <f t="shared" si="6"/>
        <v>0.1007340164614354</v>
      </c>
      <c r="N85" s="25">
        <f t="shared" si="6"/>
        <v>4.8547790950794985E-2</v>
      </c>
      <c r="O85" s="25">
        <f t="shared" si="6"/>
        <v>3.5156909429048054E-2</v>
      </c>
      <c r="P85" s="25">
        <f t="shared" si="6"/>
        <v>2.0447303930869493E-2</v>
      </c>
      <c r="Q85" s="25">
        <f t="shared" si="6"/>
        <v>-1.7896647897921305E-2</v>
      </c>
      <c r="R85" s="25">
        <f t="shared" si="6"/>
        <v>-3.7531835998697166E-3</v>
      </c>
    </row>
    <row r="86" spans="1:18" s="65" customFormat="1" ht="15" thickBot="1" x14ac:dyDescent="0.35">
      <c r="A86" s="224"/>
      <c r="C86" s="18" t="s">
        <v>30</v>
      </c>
      <c r="D86" s="165"/>
      <c r="E86" s="165"/>
      <c r="F86" s="165"/>
      <c r="G86" s="165"/>
      <c r="H86" s="165"/>
      <c r="I86" s="165"/>
      <c r="L86" s="20"/>
      <c r="M86" s="19"/>
      <c r="N86" s="19"/>
      <c r="O86" s="19"/>
      <c r="P86" s="19"/>
      <c r="Q86" s="19"/>
      <c r="R86" s="19"/>
    </row>
    <row r="87" spans="1:18" s="65" customFormat="1" ht="15" thickBot="1" x14ac:dyDescent="0.35">
      <c r="A87" s="224"/>
      <c r="C87" s="6" t="s">
        <v>31</v>
      </c>
      <c r="D87" s="139"/>
      <c r="E87" s="139"/>
      <c r="F87" s="139"/>
      <c r="G87" s="139"/>
      <c r="H87" s="139"/>
      <c r="I87" s="139"/>
      <c r="L87" s="25">
        <f t="shared" ref="L87:O88" si="7">IFERROR(L31/L$15,0)</f>
        <v>0.10086346576152279</v>
      </c>
      <c r="M87" s="25">
        <f t="shared" si="7"/>
        <v>3.9821460806148522E-3</v>
      </c>
      <c r="N87" s="25">
        <f t="shared" si="7"/>
        <v>9.1303695565226384E-2</v>
      </c>
      <c r="O87" s="25">
        <f t="shared" si="7"/>
        <v>8.9319889975443045E-2</v>
      </c>
      <c r="P87" s="25">
        <f t="shared" ref="P87:R88" si="8">IFERROR(P31/P$15,0)</f>
        <v>0.10847120894838322</v>
      </c>
      <c r="Q87" s="25">
        <f t="shared" si="8"/>
        <v>0.10177859148246052</v>
      </c>
      <c r="R87" s="25">
        <f t="shared" si="8"/>
        <v>0.10335915276871194</v>
      </c>
    </row>
    <row r="88" spans="1:18" s="65" customFormat="1" ht="15" thickBot="1" x14ac:dyDescent="0.35">
      <c r="A88" s="224"/>
      <c r="C88" s="4" t="s">
        <v>24</v>
      </c>
      <c r="D88" s="164"/>
      <c r="E88" s="164"/>
      <c r="F88" s="164"/>
      <c r="G88" s="164"/>
      <c r="H88" s="164"/>
      <c r="I88" s="164"/>
      <c r="L88" s="17">
        <f t="shared" si="7"/>
        <v>3.4853457434013926E-2</v>
      </c>
      <c r="M88" s="17">
        <f t="shared" si="7"/>
        <v>0</v>
      </c>
      <c r="N88" s="17">
        <f t="shared" si="7"/>
        <v>4.8718362930765674E-2</v>
      </c>
      <c r="O88" s="17">
        <f t="shared" si="7"/>
        <v>4.2000035912851522E-2</v>
      </c>
      <c r="P88" s="17">
        <f t="shared" si="8"/>
        <v>4.0555560968859018E-2</v>
      </c>
      <c r="Q88" s="17">
        <f t="shared" si="8"/>
        <v>0</v>
      </c>
      <c r="R88" s="17">
        <f t="shared" si="8"/>
        <v>0</v>
      </c>
    </row>
    <row r="89" spans="1:18" s="65" customFormat="1" ht="15" thickBot="1" x14ac:dyDescent="0.35">
      <c r="A89" s="224"/>
      <c r="C89" s="4" t="s">
        <v>32</v>
      </c>
      <c r="D89" s="164"/>
      <c r="E89" s="164"/>
      <c r="F89" s="164"/>
      <c r="G89" s="164"/>
      <c r="H89" s="164"/>
      <c r="I89" s="164"/>
      <c r="L89" s="5" t="s">
        <v>33</v>
      </c>
      <c r="M89" s="5" t="s">
        <v>33</v>
      </c>
      <c r="N89" s="5" t="s">
        <v>33</v>
      </c>
      <c r="O89" s="5" t="s">
        <v>33</v>
      </c>
      <c r="P89" s="5" t="s">
        <v>33</v>
      </c>
      <c r="Q89" s="5" t="s">
        <v>33</v>
      </c>
      <c r="R89" s="5" t="s">
        <v>33</v>
      </c>
    </row>
    <row r="90" spans="1:18" s="65" customFormat="1" ht="15" thickBot="1" x14ac:dyDescent="0.35">
      <c r="A90" s="224"/>
      <c r="C90" s="4" t="s">
        <v>34</v>
      </c>
      <c r="D90" s="164"/>
      <c r="E90" s="164"/>
      <c r="F90" s="164"/>
      <c r="G90" s="164"/>
      <c r="H90" s="164"/>
      <c r="I90" s="164"/>
      <c r="L90" s="17">
        <f t="shared" ref="L90:O92" si="9">IFERROR(L34/L$15,0)</f>
        <v>0</v>
      </c>
      <c r="M90" s="17">
        <f t="shared" si="9"/>
        <v>0</v>
      </c>
      <c r="N90" s="17">
        <f t="shared" si="9"/>
        <v>2.933486051502383E-2</v>
      </c>
      <c r="O90" s="17">
        <f t="shared" si="9"/>
        <v>2.9182868093473126E-2</v>
      </c>
      <c r="P90" s="17">
        <f t="shared" ref="P90:R92" si="10">IFERROR(P34/P$15,0)</f>
        <v>3.320694439459581E-2</v>
      </c>
      <c r="Q90" s="17">
        <f t="shared" si="10"/>
        <v>0</v>
      </c>
      <c r="R90" s="17">
        <f t="shared" si="10"/>
        <v>0</v>
      </c>
    </row>
    <row r="91" spans="1:18" s="65" customFormat="1" ht="15" thickBot="1" x14ac:dyDescent="0.35">
      <c r="A91" s="224"/>
      <c r="C91" s="4" t="s">
        <v>35</v>
      </c>
      <c r="D91" s="164"/>
      <c r="E91" s="164"/>
      <c r="F91" s="164"/>
      <c r="G91" s="164"/>
      <c r="H91" s="164"/>
      <c r="I91" s="164"/>
      <c r="L91" s="17">
        <f t="shared" si="9"/>
        <v>6.5149334827341573E-2</v>
      </c>
      <c r="M91" s="17">
        <f t="shared" si="9"/>
        <v>0</v>
      </c>
      <c r="N91" s="17">
        <f t="shared" si="9"/>
        <v>1.1461265812043063E-2</v>
      </c>
      <c r="O91" s="17">
        <f t="shared" si="9"/>
        <v>1.8110168501283181E-2</v>
      </c>
      <c r="P91" s="17">
        <f t="shared" si="10"/>
        <v>3.4708687263410413E-2</v>
      </c>
      <c r="Q91" s="17">
        <f t="shared" si="10"/>
        <v>0</v>
      </c>
      <c r="R91" s="17">
        <f t="shared" si="10"/>
        <v>0</v>
      </c>
    </row>
    <row r="92" spans="1:18" s="65" customFormat="1" ht="15" thickBot="1" x14ac:dyDescent="0.35">
      <c r="A92" s="224"/>
      <c r="C92" s="6" t="s">
        <v>36</v>
      </c>
      <c r="D92" s="139"/>
      <c r="E92" s="139"/>
      <c r="F92" s="139"/>
      <c r="G92" s="139"/>
      <c r="H92" s="139"/>
      <c r="I92" s="139"/>
      <c r="L92" s="25">
        <f t="shared" si="9"/>
        <v>0.1000027922613555</v>
      </c>
      <c r="M92" s="25">
        <f t="shared" si="9"/>
        <v>0</v>
      </c>
      <c r="N92" s="25">
        <f t="shared" si="9"/>
        <v>8.9514473472900133E-2</v>
      </c>
      <c r="O92" s="25">
        <f t="shared" si="9"/>
        <v>8.9293057861257283E-2</v>
      </c>
      <c r="P92" s="25">
        <f t="shared" si="10"/>
        <v>0.10847120894838322</v>
      </c>
      <c r="Q92" s="25">
        <f t="shared" si="10"/>
        <v>0</v>
      </c>
      <c r="R92" s="25">
        <f t="shared" si="10"/>
        <v>0</v>
      </c>
    </row>
    <row r="93" spans="1:18" s="65" customFormat="1" ht="15" thickBot="1" x14ac:dyDescent="0.35">
      <c r="A93" s="224"/>
      <c r="C93" s="18" t="s">
        <v>37</v>
      </c>
      <c r="D93" s="165"/>
      <c r="E93" s="165"/>
      <c r="F93" s="165"/>
      <c r="G93" s="165"/>
      <c r="H93" s="165"/>
      <c r="I93" s="165"/>
      <c r="L93" s="20"/>
      <c r="M93" s="19"/>
      <c r="N93" s="19"/>
      <c r="O93" s="19"/>
      <c r="P93" s="19"/>
      <c r="Q93" s="19"/>
      <c r="R93" s="19"/>
    </row>
    <row r="94" spans="1:18" s="65" customFormat="1" ht="15" thickBot="1" x14ac:dyDescent="0.35">
      <c r="A94" s="224"/>
      <c r="C94" s="4" t="s">
        <v>38</v>
      </c>
      <c r="D94" s="164"/>
      <c r="E94" s="164"/>
      <c r="F94" s="164"/>
      <c r="G94" s="164"/>
      <c r="H94" s="164"/>
      <c r="I94" s="164"/>
      <c r="L94" s="17">
        <f t="shared" ref="L94:O98" si="11">IFERROR(L38/L$15,0)</f>
        <v>0.89773476362815008</v>
      </c>
      <c r="M94" s="17">
        <f t="shared" si="11"/>
        <v>0.69700700744662392</v>
      </c>
      <c r="N94" s="17">
        <f t="shared" si="11"/>
        <v>0.69694334569914418</v>
      </c>
      <c r="O94" s="17">
        <f t="shared" si="11"/>
        <v>0.41716816503226578</v>
      </c>
      <c r="P94" s="17">
        <f t="shared" ref="P94:R98" si="12">IFERROR(P38/P$15,0)</f>
        <v>0.63129824732521744</v>
      </c>
      <c r="Q94" s="17">
        <f t="shared" si="12"/>
        <v>0.2601841577623939</v>
      </c>
      <c r="R94" s="17">
        <f t="shared" si="12"/>
        <v>0.21838029541514861</v>
      </c>
    </row>
    <row r="95" spans="1:18" s="65" customFormat="1" ht="15" thickBot="1" x14ac:dyDescent="0.35">
      <c r="A95" s="224"/>
      <c r="C95" s="4" t="s">
        <v>39</v>
      </c>
      <c r="D95" s="164"/>
      <c r="E95" s="164"/>
      <c r="F95" s="164"/>
      <c r="G95" s="164"/>
      <c r="H95" s="164"/>
      <c r="I95" s="164"/>
      <c r="L95" s="17">
        <f t="shared" si="11"/>
        <v>1.1604851917237691</v>
      </c>
      <c r="M95" s="17">
        <f t="shared" si="11"/>
        <v>1.5125591256519553</v>
      </c>
      <c r="N95" s="17">
        <f t="shared" si="11"/>
        <v>1.4568512715568114</v>
      </c>
      <c r="O95" s="17">
        <f t="shared" si="11"/>
        <v>1.407233252535276</v>
      </c>
      <c r="P95" s="17">
        <f t="shared" si="12"/>
        <v>1.4577929054311174</v>
      </c>
      <c r="Q95" s="17">
        <f t="shared" si="12"/>
        <v>1.3629363947889555</v>
      </c>
      <c r="R95" s="17">
        <f t="shared" si="12"/>
        <v>1.2623181966599502</v>
      </c>
    </row>
    <row r="96" spans="1:18" s="65" customFormat="1" ht="15" thickBot="1" x14ac:dyDescent="0.35">
      <c r="A96" s="224"/>
      <c r="C96" s="4" t="s">
        <v>40</v>
      </c>
      <c r="D96" s="164"/>
      <c r="E96" s="164"/>
      <c r="F96" s="164"/>
      <c r="G96" s="164"/>
      <c r="H96" s="164"/>
      <c r="I96" s="164"/>
      <c r="L96" s="17">
        <f t="shared" si="11"/>
        <v>0.51686146894834195</v>
      </c>
      <c r="M96" s="17">
        <f t="shared" si="11"/>
        <v>0.70889829167201912</v>
      </c>
      <c r="N96" s="17">
        <f t="shared" si="11"/>
        <v>0.67258440100774797</v>
      </c>
      <c r="O96" s="17">
        <f t="shared" si="11"/>
        <v>0.37462795706521934</v>
      </c>
      <c r="P96" s="17">
        <f t="shared" si="12"/>
        <v>0.7013458609470975</v>
      </c>
      <c r="Q96" s="17">
        <f t="shared" si="12"/>
        <v>0.33552513080179064</v>
      </c>
      <c r="R96" s="17">
        <f t="shared" si="12"/>
        <v>0.35747956540579628</v>
      </c>
    </row>
    <row r="97" spans="1:18" s="65" customFormat="1" ht="15" thickBot="1" x14ac:dyDescent="0.35">
      <c r="A97" s="224"/>
      <c r="C97" s="4" t="s">
        <v>41</v>
      </c>
      <c r="D97" s="164"/>
      <c r="E97" s="164"/>
      <c r="F97" s="164"/>
      <c r="G97" s="164"/>
      <c r="H97" s="164"/>
      <c r="I97" s="164"/>
      <c r="L97" s="17">
        <f t="shared" si="11"/>
        <v>0.63958986489472258</v>
      </c>
      <c r="M97" s="17">
        <f t="shared" si="11"/>
        <v>0.6390710563284121</v>
      </c>
      <c r="N97" s="17">
        <f t="shared" si="11"/>
        <v>0.6043499106588609</v>
      </c>
      <c r="O97" s="17">
        <f t="shared" si="11"/>
        <v>0.59229301125656986</v>
      </c>
      <c r="P97" s="17">
        <f t="shared" si="12"/>
        <v>0.42062924968463972</v>
      </c>
      <c r="Q97" s="17">
        <f t="shared" si="12"/>
        <v>0.4071446732967699</v>
      </c>
      <c r="R97" s="17">
        <f t="shared" si="12"/>
        <v>0.36136429171843892</v>
      </c>
    </row>
    <row r="98" spans="1:18" s="65" customFormat="1" ht="15" thickBot="1" x14ac:dyDescent="0.35">
      <c r="A98" s="224"/>
      <c r="C98" s="6" t="s">
        <v>42</v>
      </c>
      <c r="D98" s="139"/>
      <c r="E98" s="139"/>
      <c r="F98" s="139"/>
      <c r="G98" s="139"/>
      <c r="H98" s="139"/>
      <c r="I98" s="139"/>
      <c r="L98" s="25">
        <f t="shared" si="11"/>
        <v>0.81004855507005302</v>
      </c>
      <c r="M98" s="25">
        <f t="shared" si="11"/>
        <v>0.76104806134366043</v>
      </c>
      <c r="N98" s="25">
        <f t="shared" si="11"/>
        <v>0.8272748605345972</v>
      </c>
      <c r="O98" s="25">
        <f t="shared" si="11"/>
        <v>0.82099305068747475</v>
      </c>
      <c r="P98" s="25">
        <f t="shared" si="12"/>
        <v>0.94961178535029833</v>
      </c>
      <c r="Q98" s="25">
        <f t="shared" si="12"/>
        <v>0.8804507484527887</v>
      </c>
      <c r="R98" s="25">
        <f t="shared" si="12"/>
        <v>0.7618546349508637</v>
      </c>
    </row>
    <row r="99" spans="1:18" s="65" customFormat="1" ht="15" thickBot="1" x14ac:dyDescent="0.35">
      <c r="A99" s="224"/>
      <c r="C99" s="18" t="s">
        <v>43</v>
      </c>
      <c r="D99" s="165"/>
      <c r="E99" s="165"/>
      <c r="F99" s="165"/>
      <c r="G99" s="165"/>
      <c r="H99" s="165"/>
      <c r="I99" s="165"/>
      <c r="L99" s="20"/>
      <c r="M99" s="19"/>
      <c r="N99" s="19"/>
      <c r="O99" s="19"/>
      <c r="P99" s="19"/>
      <c r="Q99" s="19"/>
      <c r="R99" s="19"/>
    </row>
    <row r="100" spans="1:18" s="65" customFormat="1" ht="15" thickBot="1" x14ac:dyDescent="0.35">
      <c r="A100" s="224"/>
      <c r="C100" s="4" t="s">
        <v>44</v>
      </c>
      <c r="D100" s="164"/>
      <c r="E100" s="164"/>
      <c r="F100" s="164"/>
      <c r="G100" s="164"/>
      <c r="H100" s="164"/>
      <c r="I100" s="164"/>
      <c r="L100" s="17">
        <f t="shared" ref="L100:O103" si="13">IFERROR(L44/L$15,0)</f>
        <v>-3.0119218873692009E-5</v>
      </c>
      <c r="M100" s="17">
        <f t="shared" si="13"/>
        <v>2.5359790670448603E-2</v>
      </c>
      <c r="N100" s="17">
        <f t="shared" si="13"/>
        <v>0.85192708927076988</v>
      </c>
      <c r="O100" s="17">
        <f t="shared" si="13"/>
        <v>1.0075824303199141</v>
      </c>
      <c r="P100" s="17">
        <f t="shared" ref="P100:R103" si="14">IFERROR(P44/P$15,0)</f>
        <v>6.6476742954910614E-2</v>
      </c>
      <c r="Q100" s="17">
        <f t="shared" si="14"/>
        <v>9.9298192410478617E-2</v>
      </c>
      <c r="R100" s="17">
        <f t="shared" si="14"/>
        <v>0.11443820058758268</v>
      </c>
    </row>
    <row r="101" spans="1:18" s="65" customFormat="1" ht="15" thickBot="1" x14ac:dyDescent="0.35">
      <c r="A101" s="224"/>
      <c r="C101" s="4" t="s">
        <v>45</v>
      </c>
      <c r="D101" s="164"/>
      <c r="E101" s="164"/>
      <c r="F101" s="164"/>
      <c r="G101" s="164"/>
      <c r="H101" s="164"/>
      <c r="I101" s="164"/>
      <c r="L101" s="17">
        <f t="shared" si="13"/>
        <v>-1.9595698366036336E-3</v>
      </c>
      <c r="M101" s="17">
        <f t="shared" si="13"/>
        <v>6.8197240091059897E-4</v>
      </c>
      <c r="N101" s="17">
        <f t="shared" si="13"/>
        <v>6.834875747483637E-6</v>
      </c>
      <c r="O101" s="17">
        <f t="shared" si="13"/>
        <v>2.8575029899792305E-5</v>
      </c>
      <c r="P101" s="17">
        <f t="shared" si="14"/>
        <v>0</v>
      </c>
      <c r="Q101" s="17">
        <f t="shared" si="14"/>
        <v>-6.7861491196782878E-2</v>
      </c>
      <c r="R101" s="17">
        <f t="shared" si="14"/>
        <v>0.11269857726569485</v>
      </c>
    </row>
    <row r="102" spans="1:18" s="65" customFormat="1" ht="15" thickBot="1" x14ac:dyDescent="0.35">
      <c r="A102" s="224"/>
      <c r="C102" s="4" t="s">
        <v>46</v>
      </c>
      <c r="D102" s="164"/>
      <c r="E102" s="164"/>
      <c r="F102" s="164"/>
      <c r="G102" s="164"/>
      <c r="H102" s="164"/>
      <c r="I102" s="164"/>
      <c r="L102" s="17">
        <f t="shared" si="13"/>
        <v>1.240080669637704E-2</v>
      </c>
      <c r="M102" s="17">
        <f t="shared" si="13"/>
        <v>6.8228551655691123E-3</v>
      </c>
      <c r="N102" s="17">
        <f t="shared" si="13"/>
        <v>1.4813638194258029E-2</v>
      </c>
      <c r="O102" s="17">
        <f t="shared" si="13"/>
        <v>8.4916757613180335E-3</v>
      </c>
      <c r="P102" s="17">
        <f t="shared" si="14"/>
        <v>0</v>
      </c>
      <c r="Q102" s="17">
        <f t="shared" si="14"/>
        <v>-2.8226079646298568E-2</v>
      </c>
      <c r="R102" s="17">
        <f t="shared" si="14"/>
        <v>-2.7273193619494634E-2</v>
      </c>
    </row>
    <row r="103" spans="1:18" s="65" customFormat="1" ht="15" thickBot="1" x14ac:dyDescent="0.35">
      <c r="A103" s="224"/>
      <c r="C103" s="6" t="s">
        <v>47</v>
      </c>
      <c r="D103" s="139"/>
      <c r="E103" s="139"/>
      <c r="F103" s="139"/>
      <c r="G103" s="139"/>
      <c r="H103" s="139"/>
      <c r="I103" s="139"/>
      <c r="L103" s="25">
        <f t="shared" si="13"/>
        <v>1.6837256816744084E-2</v>
      </c>
      <c r="M103" s="25">
        <f t="shared" si="13"/>
        <v>3.5651967197156874E-2</v>
      </c>
      <c r="N103" s="25">
        <f t="shared" si="13"/>
        <v>0.88236282254417941</v>
      </c>
      <c r="O103" s="25">
        <f t="shared" si="13"/>
        <v>1.1051169163971959</v>
      </c>
      <c r="P103" s="25">
        <f t="shared" si="14"/>
        <v>7.7079168387974753E-2</v>
      </c>
      <c r="Q103" s="25">
        <f t="shared" si="14"/>
        <v>6.3060938007252834E-2</v>
      </c>
      <c r="R103" s="25">
        <f t="shared" si="14"/>
        <v>2.9268821168911736E-2</v>
      </c>
    </row>
    <row r="104" spans="1:18" s="65" customFormat="1" ht="15" customHeight="1" thickBot="1" x14ac:dyDescent="0.35">
      <c r="A104" s="224"/>
      <c r="C104" s="18" t="s">
        <v>48</v>
      </c>
      <c r="D104" s="165"/>
      <c r="E104" s="165"/>
      <c r="F104" s="165"/>
      <c r="G104" s="165"/>
      <c r="H104" s="165"/>
      <c r="I104" s="165"/>
      <c r="L104" s="20"/>
      <c r="M104" s="19"/>
      <c r="N104" s="19"/>
      <c r="O104" s="19"/>
      <c r="P104" s="19"/>
      <c r="Q104" s="19"/>
      <c r="R104" s="19"/>
    </row>
    <row r="105" spans="1:18" s="65" customFormat="1" ht="15" thickBot="1" x14ac:dyDescent="0.35">
      <c r="A105" s="224"/>
      <c r="C105" s="4" t="s">
        <v>49</v>
      </c>
      <c r="D105" s="164"/>
      <c r="E105" s="164"/>
      <c r="F105" s="164"/>
      <c r="G105" s="164"/>
      <c r="H105" s="164"/>
      <c r="I105" s="164"/>
      <c r="L105" s="17">
        <f t="shared" ref="L105:R105" si="15">IFERROR(L49/L$15,0)</f>
        <v>8.6177378175032199E-3</v>
      </c>
      <c r="M105" s="17">
        <f t="shared" si="15"/>
        <v>8.054035671732622E-3</v>
      </c>
      <c r="N105" s="17">
        <f t="shared" si="15"/>
        <v>1.076762852573435E-2</v>
      </c>
      <c r="O105" s="17">
        <f t="shared" si="15"/>
        <v>1.7569615641974297E-2</v>
      </c>
      <c r="P105" s="17">
        <f t="shared" si="15"/>
        <v>2.1309014793840213E-2</v>
      </c>
      <c r="Q105" s="17">
        <f t="shared" si="15"/>
        <v>6.5098062681263988E-2</v>
      </c>
      <c r="R105" s="17">
        <f t="shared" si="15"/>
        <v>0.12130493560312577</v>
      </c>
    </row>
    <row r="106" spans="1:18" s="65" customFormat="1" ht="15" thickBot="1" x14ac:dyDescent="0.35">
      <c r="A106" s="224"/>
      <c r="C106" s="4" t="s">
        <v>50</v>
      </c>
      <c r="D106" s="164"/>
      <c r="E106" s="164"/>
      <c r="F106" s="164"/>
      <c r="G106" s="164"/>
      <c r="H106" s="164"/>
      <c r="I106" s="164"/>
      <c r="L106" s="17">
        <f>IFERROR(L51/L$15,0)</f>
        <v>3.2538690580614038E-2</v>
      </c>
      <c r="M106" s="17">
        <f t="shared" ref="M106:O107" si="16">IFERROR(M51/M$15,0)</f>
        <v>3.4760843329373674E-2</v>
      </c>
      <c r="N106" s="17">
        <f t="shared" si="16"/>
        <v>4.901516701547684E-2</v>
      </c>
      <c r="O106" s="17">
        <f t="shared" si="16"/>
        <v>3.9119025530258672E-2</v>
      </c>
      <c r="P106" s="17">
        <f t="shared" ref="P106:R107" si="17">IFERROR(P51/P$15,0)</f>
        <v>5.1814992786460311E-2</v>
      </c>
      <c r="Q106" s="17">
        <f t="shared" si="17"/>
        <v>3.2412741490740228E-2</v>
      </c>
      <c r="R106" s="17">
        <f t="shared" si="17"/>
        <v>4.7434526553938497E-2</v>
      </c>
    </row>
    <row r="107" spans="1:18" s="65" customFormat="1" ht="15" thickBot="1" x14ac:dyDescent="0.35">
      <c r="A107" s="224"/>
      <c r="C107" s="4" t="s">
        <v>51</v>
      </c>
      <c r="D107" s="164"/>
      <c r="E107" s="164"/>
      <c r="F107" s="164"/>
      <c r="G107" s="164"/>
      <c r="H107" s="164"/>
      <c r="I107" s="164"/>
      <c r="L107" s="17">
        <f>IFERROR(L52/L$15,0)</f>
        <v>1.0230244013760723E-3</v>
      </c>
      <c r="M107" s="17">
        <f t="shared" si="16"/>
        <v>3.0105090906523122E-3</v>
      </c>
      <c r="N107" s="17">
        <f t="shared" si="16"/>
        <v>1.0721915361381663E-3</v>
      </c>
      <c r="O107" s="17">
        <f t="shared" si="16"/>
        <v>3.6301712126155928E-3</v>
      </c>
      <c r="P107" s="17">
        <f t="shared" si="17"/>
        <v>8.1656880855742412E-3</v>
      </c>
      <c r="Q107" s="17">
        <f t="shared" si="17"/>
        <v>2.0025254480417047E-3</v>
      </c>
      <c r="R107" s="17">
        <f t="shared" si="17"/>
        <v>4.3527880960412615E-3</v>
      </c>
    </row>
    <row r="108" spans="1:18" s="65" customFormat="1" x14ac:dyDescent="0.3">
      <c r="A108" s="224"/>
    </row>
    <row r="109" spans="1:18" s="65" customFormat="1" x14ac:dyDescent="0.3">
      <c r="A109" s="224"/>
    </row>
    <row r="110" spans="1:18" s="65" customFormat="1" x14ac:dyDescent="0.3"/>
    <row r="111" spans="1:18" s="65" customFormat="1" x14ac:dyDescent="0.3"/>
    <row r="112" spans="1:18" s="65" customFormat="1" x14ac:dyDescent="0.3"/>
    <row r="113" spans="1:29" s="65" customFormat="1" x14ac:dyDescent="0.3">
      <c r="A113" s="65" t="s">
        <v>106</v>
      </c>
      <c r="C113" s="114" t="s">
        <v>107</v>
      </c>
      <c r="D113" s="114"/>
      <c r="E113" s="114"/>
      <c r="F113" s="114"/>
      <c r="G113" s="114"/>
      <c r="H113" s="114"/>
      <c r="I113" s="114"/>
    </row>
    <row r="114" spans="1:29" s="65" customFormat="1" ht="16.2" thickBot="1" x14ac:dyDescent="0.35">
      <c r="A114" s="225" t="str">
        <f>C114</f>
        <v>Employment Statistics</v>
      </c>
      <c r="C114" s="120" t="s">
        <v>61</v>
      </c>
      <c r="D114" s="120"/>
      <c r="E114" s="120"/>
      <c r="F114" s="120"/>
      <c r="G114" s="120"/>
      <c r="H114" s="120"/>
      <c r="I114" s="120"/>
      <c r="J114" s="121"/>
      <c r="K114" s="121"/>
      <c r="W114" s="65">
        <f t="shared" ref="W114:W129" si="18">IF(C114=X114,1,0)</f>
        <v>1</v>
      </c>
      <c r="X114" s="116" t="s">
        <v>61</v>
      </c>
    </row>
    <row r="115" spans="1:29" s="65" customFormat="1" ht="15" thickBot="1" x14ac:dyDescent="0.35">
      <c r="A115" s="225"/>
      <c r="C115" s="89"/>
      <c r="D115" s="89"/>
      <c r="E115" s="89"/>
      <c r="F115" s="89"/>
      <c r="G115" s="89"/>
      <c r="H115" s="89"/>
      <c r="I115" s="89"/>
      <c r="J115" s="7" t="s">
        <v>63</v>
      </c>
      <c r="K115" s="7" t="s">
        <v>62</v>
      </c>
      <c r="L115" s="7" t="s">
        <v>5</v>
      </c>
      <c r="M115" s="7" t="s">
        <v>4</v>
      </c>
      <c r="N115" s="7" t="s">
        <v>3</v>
      </c>
      <c r="O115" s="92" t="s">
        <v>2</v>
      </c>
      <c r="P115" s="92" t="s">
        <v>1</v>
      </c>
      <c r="W115" s="65">
        <f t="shared" si="18"/>
        <v>1</v>
      </c>
      <c r="X115" s="118"/>
      <c r="Y115" s="92" t="s">
        <v>1</v>
      </c>
      <c r="Z115" s="92" t="s">
        <v>2</v>
      </c>
      <c r="AA115" s="92" t="s">
        <v>3</v>
      </c>
      <c r="AB115" s="92" t="s">
        <v>4</v>
      </c>
      <c r="AC115" s="92" t="s">
        <v>5</v>
      </c>
    </row>
    <row r="116" spans="1:29" s="65" customFormat="1" ht="15" thickBot="1" x14ac:dyDescent="0.35">
      <c r="A116" s="225"/>
      <c r="C116" s="13" t="s">
        <v>64</v>
      </c>
      <c r="D116" s="14"/>
      <c r="E116" s="14"/>
      <c r="F116" s="14"/>
      <c r="G116" s="14"/>
      <c r="H116" s="14"/>
      <c r="I116" s="14"/>
      <c r="J116" s="15"/>
      <c r="K116" s="14"/>
      <c r="L116" s="14"/>
      <c r="M116" s="14"/>
      <c r="N116" s="14"/>
      <c r="O116" s="19"/>
      <c r="P116" s="19"/>
      <c r="W116" s="65">
        <f t="shared" si="18"/>
        <v>1</v>
      </c>
      <c r="X116" s="18" t="s">
        <v>64</v>
      </c>
      <c r="Y116" s="19"/>
      <c r="Z116" s="19"/>
      <c r="AA116" s="19"/>
      <c r="AB116" s="19"/>
      <c r="AC116" s="20"/>
    </row>
    <row r="117" spans="1:29" s="65" customFormat="1" ht="15" thickBot="1" x14ac:dyDescent="0.35">
      <c r="A117" s="225"/>
      <c r="C117" s="4" t="s">
        <v>65</v>
      </c>
      <c r="D117" s="4"/>
      <c r="E117" s="4"/>
      <c r="F117" s="4"/>
      <c r="G117" s="4"/>
      <c r="H117" s="4"/>
      <c r="I117" s="4"/>
      <c r="J117" s="21">
        <v>8999338</v>
      </c>
      <c r="K117" s="21">
        <v>10255081</v>
      </c>
      <c r="L117" s="21">
        <v>11631360</v>
      </c>
      <c r="M117" s="21">
        <v>13555280</v>
      </c>
      <c r="N117" s="21">
        <v>14852303</v>
      </c>
      <c r="O117" s="21">
        <v>15844916</v>
      </c>
      <c r="P117" s="21">
        <v>15756481</v>
      </c>
      <c r="W117" s="65">
        <f t="shared" si="18"/>
        <v>1</v>
      </c>
      <c r="X117" s="99" t="s">
        <v>65</v>
      </c>
      <c r="Y117" s="94" t="s">
        <v>264</v>
      </c>
      <c r="Z117" s="94" t="s">
        <v>265</v>
      </c>
      <c r="AA117" s="94" t="s">
        <v>266</v>
      </c>
      <c r="AB117" s="94" t="s">
        <v>367</v>
      </c>
      <c r="AC117" s="94" t="s">
        <v>368</v>
      </c>
    </row>
    <row r="118" spans="1:29" s="65" customFormat="1" ht="15" thickBot="1" x14ac:dyDescent="0.35">
      <c r="A118" s="225"/>
      <c r="C118" s="4" t="s">
        <v>66</v>
      </c>
      <c r="D118" s="4"/>
      <c r="E118" s="4"/>
      <c r="F118" s="4"/>
      <c r="G118" s="4"/>
      <c r="H118" s="4"/>
      <c r="I118" s="4"/>
      <c r="J118" s="21">
        <v>133887</v>
      </c>
      <c r="K118" s="21">
        <v>139593</v>
      </c>
      <c r="L118" s="21">
        <v>170203</v>
      </c>
      <c r="M118" s="21">
        <v>162088</v>
      </c>
      <c r="N118" s="21">
        <v>166266</v>
      </c>
      <c r="O118" s="21">
        <v>168115</v>
      </c>
      <c r="P118" s="21">
        <v>163541</v>
      </c>
      <c r="W118" s="65">
        <f t="shared" si="18"/>
        <v>1</v>
      </c>
      <c r="X118" s="99" t="s">
        <v>66</v>
      </c>
      <c r="Y118" s="94" t="s">
        <v>267</v>
      </c>
      <c r="Z118" s="94" t="s">
        <v>268</v>
      </c>
      <c r="AA118" s="94" t="s">
        <v>269</v>
      </c>
      <c r="AB118" s="94" t="s">
        <v>369</v>
      </c>
      <c r="AC118" s="94" t="s">
        <v>370</v>
      </c>
    </row>
    <row r="119" spans="1:29" s="65" customFormat="1" ht="15" thickBot="1" x14ac:dyDescent="0.35">
      <c r="A119" s="225"/>
      <c r="C119" s="26"/>
      <c r="D119" s="167"/>
      <c r="E119" s="167"/>
      <c r="F119" s="167"/>
      <c r="G119" s="167"/>
      <c r="H119" s="167"/>
      <c r="I119" s="167"/>
      <c r="J119" s="34"/>
      <c r="K119" s="33"/>
      <c r="L119" s="33"/>
      <c r="M119" s="33"/>
      <c r="N119" s="33"/>
      <c r="O119" s="33"/>
      <c r="P119" s="33"/>
      <c r="W119" s="65">
        <f t="shared" si="18"/>
        <v>1</v>
      </c>
      <c r="X119" s="37"/>
      <c r="Y119" s="106"/>
      <c r="Z119" s="106"/>
      <c r="AA119" s="106"/>
      <c r="AB119" s="106"/>
      <c r="AC119" s="107"/>
    </row>
    <row r="120" spans="1:29" s="65" customFormat="1" ht="15" thickBot="1" x14ac:dyDescent="0.35">
      <c r="A120" s="225"/>
      <c r="C120" s="4" t="s">
        <v>67</v>
      </c>
      <c r="D120" s="4"/>
      <c r="E120" s="4"/>
      <c r="F120" s="4"/>
      <c r="G120" s="4"/>
      <c r="H120" s="4"/>
      <c r="I120" s="4"/>
      <c r="J120" s="21">
        <v>29433</v>
      </c>
      <c r="K120" s="21">
        <v>30110</v>
      </c>
      <c r="L120" s="21">
        <v>29665</v>
      </c>
      <c r="M120" s="21">
        <v>34737</v>
      </c>
      <c r="N120" s="21">
        <v>40441</v>
      </c>
      <c r="O120" s="21">
        <v>39875</v>
      </c>
      <c r="P120" s="21">
        <v>40999</v>
      </c>
      <c r="W120" s="65">
        <f t="shared" si="18"/>
        <v>1</v>
      </c>
      <c r="X120" s="99" t="s">
        <v>67</v>
      </c>
      <c r="Y120" s="94" t="s">
        <v>371</v>
      </c>
      <c r="Z120" s="94" t="s">
        <v>372</v>
      </c>
      <c r="AA120" s="94" t="s">
        <v>373</v>
      </c>
      <c r="AB120" s="94" t="s">
        <v>374</v>
      </c>
      <c r="AC120" s="94" t="s">
        <v>375</v>
      </c>
    </row>
    <row r="121" spans="1:29" s="65" customFormat="1" ht="15" thickBot="1" x14ac:dyDescent="0.35">
      <c r="A121" s="225"/>
      <c r="C121" s="4" t="s">
        <v>68</v>
      </c>
      <c r="D121" s="4"/>
      <c r="E121" s="4"/>
      <c r="F121" s="4"/>
      <c r="G121" s="4"/>
      <c r="H121" s="4"/>
      <c r="I121" s="4"/>
      <c r="J121" s="21">
        <v>1467</v>
      </c>
      <c r="K121" s="21">
        <v>2145</v>
      </c>
      <c r="L121" s="21">
        <v>2193</v>
      </c>
      <c r="M121" s="21">
        <v>2191</v>
      </c>
      <c r="N121" s="21">
        <v>2417</v>
      </c>
      <c r="O121" s="21">
        <v>2266</v>
      </c>
      <c r="P121" s="21">
        <v>2690</v>
      </c>
      <c r="W121" s="65">
        <f t="shared" si="18"/>
        <v>1</v>
      </c>
      <c r="X121" s="99" t="s">
        <v>68</v>
      </c>
      <c r="Y121" s="94" t="s">
        <v>376</v>
      </c>
      <c r="Z121" s="94" t="s">
        <v>377</v>
      </c>
      <c r="AA121" s="94" t="s">
        <v>378</v>
      </c>
      <c r="AB121" s="94" t="s">
        <v>379</v>
      </c>
      <c r="AC121" s="94" t="s">
        <v>380</v>
      </c>
    </row>
    <row r="122" spans="1:29" s="65" customFormat="1" ht="15" thickBot="1" x14ac:dyDescent="0.35">
      <c r="A122" s="225"/>
      <c r="C122" s="4" t="s">
        <v>69</v>
      </c>
      <c r="D122" s="4"/>
      <c r="E122" s="4"/>
      <c r="F122" s="4"/>
      <c r="G122" s="4"/>
      <c r="H122" s="4"/>
      <c r="I122" s="4"/>
      <c r="J122" s="16">
        <v>4.9799999999999997E-2</v>
      </c>
      <c r="K122" s="16">
        <v>7.1199999999999999E-2</v>
      </c>
      <c r="L122" s="16">
        <v>7.3899999999999993E-2</v>
      </c>
      <c r="M122" s="16">
        <v>6.3100000000000003E-2</v>
      </c>
      <c r="N122" s="16">
        <v>5.9799999999999999E-2</v>
      </c>
      <c r="O122" s="16">
        <v>5.6800000000000003E-2</v>
      </c>
      <c r="P122" s="16">
        <v>6.5600000000000006E-2</v>
      </c>
      <c r="W122" s="65">
        <f t="shared" si="18"/>
        <v>1</v>
      </c>
      <c r="X122" s="99" t="s">
        <v>69</v>
      </c>
      <c r="Y122" s="108">
        <v>6.5600000000000006E-2</v>
      </c>
      <c r="Z122" s="108">
        <v>5.6800000000000003E-2</v>
      </c>
      <c r="AA122" s="108">
        <v>5.9799999999999999E-2</v>
      </c>
      <c r="AB122" s="108">
        <v>6.3100000000000003E-2</v>
      </c>
      <c r="AC122" s="108">
        <v>7.3899999999999993E-2</v>
      </c>
    </row>
    <row r="123" spans="1:29" s="65" customFormat="1" ht="15" thickBot="1" x14ac:dyDescent="0.35">
      <c r="A123" s="225"/>
      <c r="C123" s="26"/>
      <c r="D123" s="167"/>
      <c r="E123" s="167"/>
      <c r="F123" s="167"/>
      <c r="G123" s="167"/>
      <c r="H123" s="167"/>
      <c r="I123" s="167"/>
      <c r="J123" s="34"/>
      <c r="K123" s="33"/>
      <c r="L123" s="33"/>
      <c r="M123" s="33"/>
      <c r="N123" s="33"/>
      <c r="O123" s="33"/>
      <c r="P123" s="33"/>
      <c r="W123" s="65">
        <f t="shared" si="18"/>
        <v>1</v>
      </c>
      <c r="X123" s="37"/>
      <c r="Y123" s="106"/>
      <c r="Z123" s="106"/>
      <c r="AA123" s="106"/>
      <c r="AB123" s="106"/>
      <c r="AC123" s="107"/>
    </row>
    <row r="124" spans="1:29" s="65" customFormat="1" ht="15" thickBot="1" x14ac:dyDescent="0.35">
      <c r="A124" s="225"/>
      <c r="C124" s="4" t="s">
        <v>70</v>
      </c>
      <c r="D124" s="4"/>
      <c r="E124" s="4"/>
      <c r="F124" s="4"/>
      <c r="G124" s="4"/>
      <c r="H124" s="4"/>
      <c r="I124" s="4"/>
      <c r="J124" s="21">
        <v>33</v>
      </c>
      <c r="K124" s="21">
        <v>33</v>
      </c>
      <c r="L124" s="21">
        <v>34</v>
      </c>
      <c r="M124" s="21">
        <v>34</v>
      </c>
      <c r="N124" s="21">
        <v>34</v>
      </c>
      <c r="O124" s="21">
        <v>34</v>
      </c>
      <c r="P124" s="21">
        <v>34</v>
      </c>
      <c r="W124" s="65">
        <f t="shared" si="18"/>
        <v>0</v>
      </c>
      <c r="X124" s="99" t="s">
        <v>381</v>
      </c>
      <c r="Y124" s="94">
        <v>34</v>
      </c>
      <c r="Z124" s="94">
        <v>34</v>
      </c>
      <c r="AA124" s="94">
        <v>34</v>
      </c>
      <c r="AB124" s="94">
        <v>34</v>
      </c>
      <c r="AC124" s="94">
        <v>34</v>
      </c>
    </row>
    <row r="125" spans="1:29" s="65" customFormat="1" ht="15" thickBot="1" x14ac:dyDescent="0.35">
      <c r="A125" s="225"/>
      <c r="C125" s="27" t="s">
        <v>71</v>
      </c>
      <c r="D125" s="27"/>
      <c r="E125" s="27"/>
      <c r="F125" s="27"/>
      <c r="G125" s="27"/>
      <c r="H125" s="27"/>
      <c r="I125" s="27"/>
      <c r="J125" s="35">
        <v>3</v>
      </c>
      <c r="K125" s="35">
        <v>9</v>
      </c>
      <c r="L125" s="35">
        <v>14</v>
      </c>
      <c r="M125" s="35">
        <v>13</v>
      </c>
      <c r="N125" s="35">
        <v>10</v>
      </c>
      <c r="O125" s="35">
        <v>6</v>
      </c>
      <c r="P125" s="35">
        <v>11</v>
      </c>
      <c r="W125" s="65">
        <f t="shared" si="18"/>
        <v>0</v>
      </c>
      <c r="X125" s="99" t="s">
        <v>382</v>
      </c>
      <c r="Y125" s="94">
        <v>11</v>
      </c>
      <c r="Z125" s="94">
        <v>6</v>
      </c>
      <c r="AA125" s="94">
        <v>10</v>
      </c>
      <c r="AB125" s="94">
        <v>13</v>
      </c>
      <c r="AC125" s="94">
        <v>14</v>
      </c>
    </row>
    <row r="126" spans="1:29" s="65" customFormat="1" ht="15" thickBot="1" x14ac:dyDescent="0.35">
      <c r="A126" s="225"/>
      <c r="C126" s="4" t="s">
        <v>72</v>
      </c>
      <c r="D126" s="4"/>
      <c r="E126" s="4"/>
      <c r="F126" s="4"/>
      <c r="G126" s="4"/>
      <c r="H126" s="4"/>
      <c r="I126" s="4"/>
      <c r="J126" s="21">
        <v>2669</v>
      </c>
      <c r="K126" s="21">
        <v>2995</v>
      </c>
      <c r="L126" s="21">
        <v>3076</v>
      </c>
      <c r="M126" s="21">
        <v>3088</v>
      </c>
      <c r="N126" s="21">
        <v>3311</v>
      </c>
      <c r="O126" s="21">
        <v>3444</v>
      </c>
      <c r="P126" s="21">
        <v>3294</v>
      </c>
      <c r="W126" s="65">
        <f t="shared" si="18"/>
        <v>1</v>
      </c>
      <c r="X126" s="99" t="s">
        <v>72</v>
      </c>
      <c r="Y126" s="94" t="s">
        <v>383</v>
      </c>
      <c r="Z126" s="94" t="s">
        <v>384</v>
      </c>
      <c r="AA126" s="94" t="s">
        <v>385</v>
      </c>
      <c r="AB126" s="94" t="s">
        <v>386</v>
      </c>
      <c r="AC126" s="94" t="s">
        <v>387</v>
      </c>
    </row>
    <row r="127" spans="1:29" s="65" customFormat="1" ht="15" thickBot="1" x14ac:dyDescent="0.35">
      <c r="A127" s="225"/>
      <c r="C127" s="4" t="s">
        <v>73</v>
      </c>
      <c r="D127" s="4"/>
      <c r="E127" s="4"/>
      <c r="F127" s="4"/>
      <c r="G127" s="4"/>
      <c r="H127" s="4"/>
      <c r="I127" s="4"/>
      <c r="J127" s="21">
        <v>146</v>
      </c>
      <c r="K127" s="21">
        <v>230</v>
      </c>
      <c r="L127" s="21">
        <v>293</v>
      </c>
      <c r="M127" s="21">
        <v>326</v>
      </c>
      <c r="N127" s="21">
        <v>280</v>
      </c>
      <c r="O127" s="21">
        <v>279</v>
      </c>
      <c r="P127" s="21">
        <v>333</v>
      </c>
      <c r="W127" s="65">
        <f t="shared" si="18"/>
        <v>1</v>
      </c>
      <c r="X127" s="99" t="s">
        <v>73</v>
      </c>
      <c r="Y127" s="94">
        <v>333</v>
      </c>
      <c r="Z127" s="94">
        <v>279</v>
      </c>
      <c r="AA127" s="94">
        <v>280</v>
      </c>
      <c r="AB127" s="94">
        <v>326</v>
      </c>
      <c r="AC127" s="94">
        <v>293</v>
      </c>
    </row>
    <row r="128" spans="1:29" s="65" customFormat="1" ht="15" thickBot="1" x14ac:dyDescent="0.35">
      <c r="A128" s="225"/>
      <c r="C128" s="4" t="s">
        <v>74</v>
      </c>
      <c r="D128" s="4"/>
      <c r="E128" s="4"/>
      <c r="F128" s="4"/>
      <c r="G128" s="4"/>
      <c r="H128" s="4"/>
      <c r="I128" s="4"/>
      <c r="J128" s="21">
        <v>1539</v>
      </c>
      <c r="K128" s="21">
        <v>1066</v>
      </c>
      <c r="L128" s="21">
        <v>1034</v>
      </c>
      <c r="M128" s="21">
        <v>955</v>
      </c>
      <c r="N128" s="21">
        <v>0</v>
      </c>
      <c r="W128" s="65">
        <f t="shared" si="18"/>
        <v>0</v>
      </c>
    </row>
    <row r="129" spans="1:29" s="65" customFormat="1" x14ac:dyDescent="0.3">
      <c r="A129" s="225"/>
      <c r="C129" s="123" t="s">
        <v>75</v>
      </c>
      <c r="D129" s="123"/>
      <c r="E129" s="123"/>
      <c r="F129" s="123"/>
      <c r="G129" s="123"/>
      <c r="H129" s="123"/>
      <c r="I129" s="123"/>
      <c r="W129" s="65">
        <f t="shared" si="18"/>
        <v>1</v>
      </c>
      <c r="X129" s="122" t="s">
        <v>366</v>
      </c>
    </row>
    <row r="130" spans="1:29" s="65" customFormat="1" x14ac:dyDescent="0.3">
      <c r="A130" s="225"/>
    </row>
    <row r="131" spans="1:29" s="65" customFormat="1" x14ac:dyDescent="0.3">
      <c r="A131" s="225"/>
    </row>
    <row r="132" spans="1:29" s="65" customFormat="1" x14ac:dyDescent="0.3"/>
    <row r="133" spans="1:29" s="65" customFormat="1" x14ac:dyDescent="0.3"/>
    <row r="134" spans="1:29" s="65" customFormat="1" x14ac:dyDescent="0.3">
      <c r="A134" s="65" t="s">
        <v>106</v>
      </c>
      <c r="C134" s="114" t="s">
        <v>108</v>
      </c>
      <c r="D134" s="114"/>
      <c r="E134" s="114"/>
      <c r="F134" s="114"/>
      <c r="G134" s="114"/>
      <c r="H134" s="114"/>
      <c r="I134" s="114"/>
    </row>
    <row r="135" spans="1:29" s="65" customFormat="1" ht="16.2" thickBot="1" x14ac:dyDescent="0.35">
      <c r="A135" s="226" t="str">
        <f>C135</f>
        <v>Service Delivery Statistics</v>
      </c>
      <c r="C135" s="124" t="s">
        <v>76</v>
      </c>
      <c r="D135" s="124"/>
      <c r="E135" s="124"/>
      <c r="F135" s="124"/>
      <c r="G135" s="124"/>
      <c r="H135" s="124"/>
      <c r="I135" s="124"/>
      <c r="J135" s="124"/>
      <c r="K135" s="124"/>
      <c r="W135" s="65">
        <f>IF(C135=X135,1,0)</f>
        <v>1</v>
      </c>
      <c r="X135" s="116" t="s">
        <v>76</v>
      </c>
    </row>
    <row r="136" spans="1:29" s="65" customFormat="1" ht="15" thickBot="1" x14ac:dyDescent="0.35">
      <c r="A136" s="226"/>
      <c r="C136" s="89"/>
      <c r="D136" s="89"/>
      <c r="E136" s="89"/>
      <c r="F136" s="89"/>
      <c r="G136" s="89"/>
      <c r="H136" s="89"/>
      <c r="I136" s="89"/>
      <c r="J136" s="7" t="s">
        <v>63</v>
      </c>
      <c r="K136" s="7" t="s">
        <v>62</v>
      </c>
      <c r="L136" s="7" t="s">
        <v>5</v>
      </c>
      <c r="M136" s="7" t="s">
        <v>4</v>
      </c>
      <c r="N136" s="7" t="s">
        <v>3</v>
      </c>
      <c r="O136" s="92" t="s">
        <v>2</v>
      </c>
      <c r="P136" s="92" t="s">
        <v>1</v>
      </c>
      <c r="W136" s="65">
        <f>IF(C136=X136,1,0)</f>
        <v>1</v>
      </c>
      <c r="X136" s="118"/>
      <c r="Y136" s="92" t="s">
        <v>1</v>
      </c>
      <c r="Z136" s="92" t="s">
        <v>2</v>
      </c>
      <c r="AA136" s="92" t="s">
        <v>3</v>
      </c>
      <c r="AB136" s="92" t="s">
        <v>4</v>
      </c>
      <c r="AC136" s="92" t="s">
        <v>5</v>
      </c>
    </row>
    <row r="137" spans="1:29" s="65" customFormat="1" ht="15" thickBot="1" x14ac:dyDescent="0.35">
      <c r="A137" s="226"/>
      <c r="C137" s="13" t="s">
        <v>77</v>
      </c>
      <c r="D137" s="14"/>
      <c r="E137" s="14"/>
      <c r="F137" s="14"/>
      <c r="G137" s="14"/>
      <c r="H137" s="14"/>
      <c r="I137" s="14"/>
      <c r="J137" s="15"/>
      <c r="K137" s="14"/>
      <c r="L137" s="14"/>
      <c r="M137" s="14"/>
      <c r="N137" s="14"/>
      <c r="O137" s="19"/>
      <c r="P137" s="19"/>
      <c r="W137" s="65">
        <f>IF(C137=X137,1,0)</f>
        <v>1</v>
      </c>
      <c r="X137" s="18" t="s">
        <v>77</v>
      </c>
      <c r="Y137" s="19"/>
      <c r="Z137" s="19"/>
      <c r="AA137" s="19"/>
      <c r="AB137" s="19"/>
      <c r="AC137" s="20"/>
    </row>
    <row r="138" spans="1:29" s="65" customFormat="1" ht="15" thickBot="1" x14ac:dyDescent="0.35">
      <c r="A138" s="226"/>
      <c r="C138" s="4" t="s">
        <v>78</v>
      </c>
      <c r="D138" s="4"/>
      <c r="E138" s="4"/>
      <c r="F138" s="4"/>
      <c r="G138" s="4"/>
      <c r="H138" s="4"/>
      <c r="I138" s="4"/>
      <c r="J138" s="5" t="s">
        <v>79</v>
      </c>
      <c r="K138" s="5" t="s">
        <v>79</v>
      </c>
      <c r="L138" s="5" t="s">
        <v>79</v>
      </c>
      <c r="M138" s="5" t="s">
        <v>79</v>
      </c>
      <c r="N138" s="5" t="s">
        <v>79</v>
      </c>
      <c r="O138" s="94" t="s">
        <v>79</v>
      </c>
      <c r="P138" s="94" t="s">
        <v>79</v>
      </c>
      <c r="W138" s="65">
        <f>IF(C138=X138,1,0)</f>
        <v>1</v>
      </c>
      <c r="X138" s="99" t="s">
        <v>78</v>
      </c>
      <c r="Y138" s="94" t="s">
        <v>79</v>
      </c>
      <c r="Z138" s="94" t="s">
        <v>79</v>
      </c>
      <c r="AA138" s="94" t="s">
        <v>79</v>
      </c>
      <c r="AB138" s="94" t="s">
        <v>79</v>
      </c>
      <c r="AC138" s="94" t="s">
        <v>79</v>
      </c>
    </row>
    <row r="139" spans="1:29" s="65" customFormat="1" ht="15" thickBot="1" x14ac:dyDescent="0.35">
      <c r="A139" s="226"/>
      <c r="C139" s="4" t="s">
        <v>80</v>
      </c>
      <c r="D139" s="4"/>
      <c r="E139" s="4"/>
      <c r="F139" s="4"/>
      <c r="G139" s="4"/>
      <c r="H139" s="4"/>
      <c r="I139" s="4"/>
      <c r="J139" s="5" t="s">
        <v>79</v>
      </c>
      <c r="K139" s="5" t="s">
        <v>79</v>
      </c>
      <c r="L139" s="5" t="s">
        <v>79</v>
      </c>
      <c r="M139" s="5" t="s">
        <v>79</v>
      </c>
      <c r="N139" s="5" t="s">
        <v>79</v>
      </c>
      <c r="O139" s="94"/>
      <c r="P139" s="94"/>
      <c r="X139" s="99"/>
      <c r="Y139" s="94"/>
      <c r="Z139" s="94"/>
      <c r="AA139" s="94"/>
      <c r="AB139" s="94"/>
      <c r="AC139" s="94"/>
    </row>
    <row r="140" spans="1:29" s="65" customFormat="1" ht="29.4" thickBot="1" x14ac:dyDescent="0.35">
      <c r="A140" s="226"/>
      <c r="C140" s="4" t="s">
        <v>81</v>
      </c>
      <c r="D140" s="4"/>
      <c r="E140" s="4"/>
      <c r="F140" s="4"/>
      <c r="G140" s="4"/>
      <c r="H140" s="4"/>
      <c r="I140" s="4"/>
      <c r="J140" s="21">
        <v>982427</v>
      </c>
      <c r="K140" s="21">
        <v>988554</v>
      </c>
      <c r="L140" s="21">
        <v>993960</v>
      </c>
      <c r="M140" s="21">
        <v>1004505</v>
      </c>
      <c r="N140" s="21">
        <v>1127192</v>
      </c>
      <c r="O140" s="94" t="s">
        <v>389</v>
      </c>
      <c r="P140" s="94" t="s">
        <v>388</v>
      </c>
      <c r="W140" s="65">
        <f t="shared" ref="W140:W147" si="19">IF(C140=X140,1,0)</f>
        <v>1</v>
      </c>
      <c r="X140" s="99" t="s">
        <v>81</v>
      </c>
      <c r="Y140" s="94" t="s">
        <v>388</v>
      </c>
      <c r="Z140" s="94" t="s">
        <v>389</v>
      </c>
      <c r="AA140" s="94" t="s">
        <v>389</v>
      </c>
      <c r="AB140" s="94" t="s">
        <v>390</v>
      </c>
      <c r="AC140" s="94" t="s">
        <v>391</v>
      </c>
    </row>
    <row r="141" spans="1:29" s="65" customFormat="1" ht="15" thickBot="1" x14ac:dyDescent="0.35">
      <c r="A141" s="226"/>
      <c r="C141" s="4" t="s">
        <v>82</v>
      </c>
      <c r="D141" s="4"/>
      <c r="E141" s="4"/>
      <c r="F141" s="4"/>
      <c r="G141" s="4"/>
      <c r="H141" s="4"/>
      <c r="I141" s="4"/>
      <c r="J141" s="21">
        <v>942096</v>
      </c>
      <c r="K141" s="21">
        <v>949079</v>
      </c>
      <c r="L141" s="21">
        <v>953277</v>
      </c>
      <c r="M141" s="21">
        <v>963822</v>
      </c>
      <c r="N141" s="21">
        <v>1025498</v>
      </c>
      <c r="O141" s="94" t="s">
        <v>393</v>
      </c>
      <c r="P141" s="94" t="s">
        <v>392</v>
      </c>
      <c r="W141" s="65">
        <f t="shared" si="19"/>
        <v>1</v>
      </c>
      <c r="X141" s="99" t="s">
        <v>82</v>
      </c>
      <c r="Y141" s="94" t="s">
        <v>392</v>
      </c>
      <c r="Z141" s="94" t="s">
        <v>393</v>
      </c>
      <c r="AA141" s="94" t="s">
        <v>393</v>
      </c>
      <c r="AB141" s="94" t="s">
        <v>394</v>
      </c>
      <c r="AC141" s="94" t="s">
        <v>395</v>
      </c>
    </row>
    <row r="142" spans="1:29" s="65" customFormat="1" ht="15" thickBot="1" x14ac:dyDescent="0.35">
      <c r="A142" s="226"/>
      <c r="C142" s="4" t="s">
        <v>83</v>
      </c>
      <c r="D142" s="4"/>
      <c r="E142" s="4"/>
      <c r="F142" s="4"/>
      <c r="G142" s="4"/>
      <c r="H142" s="4"/>
      <c r="I142" s="4"/>
      <c r="J142" s="21">
        <v>839634</v>
      </c>
      <c r="K142" s="21">
        <v>849406</v>
      </c>
      <c r="L142" s="21">
        <v>853604</v>
      </c>
      <c r="M142" s="21">
        <v>855862</v>
      </c>
      <c r="N142" s="21">
        <v>917538</v>
      </c>
      <c r="O142" s="94" t="s">
        <v>397</v>
      </c>
      <c r="P142" s="94" t="s">
        <v>396</v>
      </c>
      <c r="W142" s="65">
        <f t="shared" si="19"/>
        <v>1</v>
      </c>
      <c r="X142" s="99" t="s">
        <v>83</v>
      </c>
      <c r="Y142" s="94" t="s">
        <v>396</v>
      </c>
      <c r="Z142" s="94" t="s">
        <v>397</v>
      </c>
      <c r="AA142" s="94" t="s">
        <v>397</v>
      </c>
      <c r="AB142" s="94" t="s">
        <v>398</v>
      </c>
      <c r="AC142" s="94" t="s">
        <v>399</v>
      </c>
    </row>
    <row r="143" spans="1:29" s="65" customFormat="1" ht="15" thickBot="1" x14ac:dyDescent="0.35">
      <c r="A143" s="226"/>
      <c r="C143" s="4" t="s">
        <v>84</v>
      </c>
      <c r="D143" s="4"/>
      <c r="E143" s="4"/>
      <c r="F143" s="4"/>
      <c r="G143" s="4"/>
      <c r="H143" s="4"/>
      <c r="I143" s="4"/>
      <c r="J143" s="21">
        <v>102462</v>
      </c>
      <c r="K143" s="21">
        <v>99673</v>
      </c>
      <c r="L143" s="21">
        <v>99673</v>
      </c>
      <c r="M143" s="21">
        <v>107960</v>
      </c>
      <c r="N143" s="21">
        <v>107960</v>
      </c>
      <c r="O143" s="94" t="s">
        <v>401</v>
      </c>
      <c r="P143" s="94" t="s">
        <v>400</v>
      </c>
      <c r="W143" s="65">
        <f t="shared" si="19"/>
        <v>1</v>
      </c>
      <c r="X143" s="99" t="s">
        <v>84</v>
      </c>
      <c r="Y143" s="94" t="s">
        <v>400</v>
      </c>
      <c r="Z143" s="94" t="s">
        <v>401</v>
      </c>
      <c r="AA143" s="94" t="s">
        <v>401</v>
      </c>
      <c r="AB143" s="94" t="s">
        <v>401</v>
      </c>
      <c r="AC143" s="94" t="s">
        <v>402</v>
      </c>
    </row>
    <row r="144" spans="1:29" s="65" customFormat="1" ht="15" thickBot="1" x14ac:dyDescent="0.35">
      <c r="A144" s="226"/>
      <c r="C144" s="4" t="s">
        <v>85</v>
      </c>
      <c r="D144" s="4"/>
      <c r="E144" s="4"/>
      <c r="F144" s="4"/>
      <c r="G144" s="4"/>
      <c r="H144" s="4"/>
      <c r="I144" s="4"/>
      <c r="J144" s="21">
        <v>0</v>
      </c>
      <c r="K144" s="21">
        <v>0</v>
      </c>
      <c r="L144" s="21">
        <v>0</v>
      </c>
      <c r="M144" s="21">
        <v>0</v>
      </c>
      <c r="N144" s="21">
        <v>0</v>
      </c>
      <c r="O144" s="94">
        <v>0</v>
      </c>
      <c r="P144" s="94">
        <v>0</v>
      </c>
      <c r="W144" s="65">
        <f t="shared" si="19"/>
        <v>1</v>
      </c>
      <c r="X144" s="99" t="s">
        <v>85</v>
      </c>
      <c r="Y144" s="94">
        <v>0</v>
      </c>
      <c r="Z144" s="94">
        <v>0</v>
      </c>
      <c r="AA144" s="94">
        <v>0</v>
      </c>
      <c r="AB144" s="94">
        <v>0</v>
      </c>
      <c r="AC144" s="94">
        <v>0</v>
      </c>
    </row>
    <row r="145" spans="1:29" s="65" customFormat="1" ht="15" thickBot="1" x14ac:dyDescent="0.35">
      <c r="A145" s="226"/>
      <c r="C145" s="4" t="s">
        <v>86</v>
      </c>
      <c r="D145" s="4"/>
      <c r="E145" s="4"/>
      <c r="F145" s="4"/>
      <c r="G145" s="4"/>
      <c r="H145" s="4"/>
      <c r="I145" s="4"/>
      <c r="J145" s="21">
        <v>31430</v>
      </c>
      <c r="K145" s="21">
        <v>31394</v>
      </c>
      <c r="L145" s="21">
        <v>33423</v>
      </c>
      <c r="M145" s="21">
        <v>14110</v>
      </c>
      <c r="N145" s="21">
        <v>13206</v>
      </c>
      <c r="O145" s="94" t="s">
        <v>404</v>
      </c>
      <c r="P145" s="94" t="s">
        <v>403</v>
      </c>
      <c r="W145" s="65">
        <f t="shared" si="19"/>
        <v>1</v>
      </c>
      <c r="X145" s="99" t="s">
        <v>86</v>
      </c>
      <c r="Y145" s="94" t="s">
        <v>403</v>
      </c>
      <c r="Z145" s="94" t="s">
        <v>404</v>
      </c>
      <c r="AA145" s="94" t="s">
        <v>405</v>
      </c>
      <c r="AB145" s="94" t="s">
        <v>406</v>
      </c>
      <c r="AC145" s="94" t="s">
        <v>407</v>
      </c>
    </row>
    <row r="146" spans="1:29" s="65" customFormat="1" ht="15" thickBot="1" x14ac:dyDescent="0.35">
      <c r="A146" s="226"/>
      <c r="C146" s="18" t="s">
        <v>87</v>
      </c>
      <c r="D146" s="19"/>
      <c r="E146" s="19"/>
      <c r="F146" s="19"/>
      <c r="G146" s="19"/>
      <c r="H146" s="19"/>
      <c r="I146" s="19"/>
      <c r="J146" s="39"/>
      <c r="K146" s="38"/>
      <c r="L146" s="38"/>
      <c r="M146" s="38"/>
      <c r="N146" s="38"/>
      <c r="O146" s="97"/>
      <c r="P146" s="97"/>
      <c r="W146" s="65">
        <f t="shared" si="19"/>
        <v>1</v>
      </c>
      <c r="X146" s="96" t="s">
        <v>87</v>
      </c>
      <c r="Y146" s="97"/>
      <c r="Z146" s="97"/>
      <c r="AA146" s="97"/>
      <c r="AB146" s="97"/>
      <c r="AC146" s="98"/>
    </row>
    <row r="147" spans="1:29" s="65" customFormat="1" ht="15" thickBot="1" x14ac:dyDescent="0.35">
      <c r="A147" s="226"/>
      <c r="C147" s="4" t="s">
        <v>78</v>
      </c>
      <c r="D147" s="4"/>
      <c r="E147" s="4"/>
      <c r="F147" s="4"/>
      <c r="G147" s="4"/>
      <c r="H147" s="4"/>
      <c r="I147" s="4"/>
      <c r="J147" s="21" t="s">
        <v>79</v>
      </c>
      <c r="K147" s="21" t="s">
        <v>79</v>
      </c>
      <c r="L147" s="21" t="s">
        <v>79</v>
      </c>
      <c r="M147" s="21" t="s">
        <v>79</v>
      </c>
      <c r="N147" s="21" t="s">
        <v>79</v>
      </c>
      <c r="O147" s="94" t="s">
        <v>79</v>
      </c>
      <c r="P147" s="94" t="s">
        <v>79</v>
      </c>
      <c r="W147" s="65">
        <f t="shared" si="19"/>
        <v>1</v>
      </c>
      <c r="X147" s="99" t="s">
        <v>78</v>
      </c>
      <c r="Y147" s="94" t="s">
        <v>79</v>
      </c>
      <c r="Z147" s="94" t="s">
        <v>79</v>
      </c>
      <c r="AA147" s="94" t="s">
        <v>79</v>
      </c>
      <c r="AB147" s="94" t="s">
        <v>79</v>
      </c>
      <c r="AC147" s="94" t="s">
        <v>79</v>
      </c>
    </row>
    <row r="148" spans="1:29" s="65" customFormat="1" ht="15" thickBot="1" x14ac:dyDescent="0.35">
      <c r="A148" s="226"/>
      <c r="C148" s="4" t="s">
        <v>80</v>
      </c>
      <c r="D148" s="4"/>
      <c r="E148" s="4"/>
      <c r="F148" s="4"/>
      <c r="G148" s="4"/>
      <c r="H148" s="4"/>
      <c r="I148" s="4"/>
      <c r="J148" s="21" t="s">
        <v>79</v>
      </c>
      <c r="K148" s="21" t="s">
        <v>79</v>
      </c>
      <c r="L148" s="21" t="s">
        <v>79</v>
      </c>
      <c r="M148" s="21" t="s">
        <v>79</v>
      </c>
      <c r="N148" s="21" t="s">
        <v>79</v>
      </c>
      <c r="O148" s="94"/>
      <c r="P148" s="94"/>
      <c r="X148" s="99"/>
      <c r="Y148" s="94"/>
      <c r="Z148" s="94"/>
      <c r="AA148" s="94"/>
      <c r="AB148" s="94"/>
      <c r="AC148" s="94"/>
    </row>
    <row r="149" spans="1:29" s="65" customFormat="1" ht="29.4" thickBot="1" x14ac:dyDescent="0.35">
      <c r="A149" s="226"/>
      <c r="C149" s="4" t="s">
        <v>81</v>
      </c>
      <c r="D149" s="4"/>
      <c r="E149" s="4"/>
      <c r="F149" s="4"/>
      <c r="G149" s="4"/>
      <c r="H149" s="4"/>
      <c r="I149" s="4"/>
      <c r="J149" s="21">
        <v>809701</v>
      </c>
      <c r="K149" s="21">
        <v>816018</v>
      </c>
      <c r="L149" s="21">
        <v>819643</v>
      </c>
      <c r="M149" s="21">
        <v>822613</v>
      </c>
      <c r="N149" s="21">
        <v>826301</v>
      </c>
      <c r="O149" s="94" t="s">
        <v>409</v>
      </c>
      <c r="P149" s="94" t="s">
        <v>408</v>
      </c>
      <c r="W149" s="65">
        <f>IF(C149=X149,1,0)</f>
        <v>1</v>
      </c>
      <c r="X149" s="99" t="s">
        <v>81</v>
      </c>
      <c r="Y149" s="94" t="s">
        <v>408</v>
      </c>
      <c r="Z149" s="94" t="s">
        <v>409</v>
      </c>
      <c r="AA149" s="94" t="s">
        <v>410</v>
      </c>
      <c r="AB149" s="94" t="s">
        <v>411</v>
      </c>
      <c r="AC149" s="94" t="s">
        <v>412</v>
      </c>
    </row>
    <row r="150" spans="1:29" s="65" customFormat="1" ht="15" thickBot="1" x14ac:dyDescent="0.35">
      <c r="A150" s="226"/>
      <c r="C150" s="4" t="s">
        <v>86</v>
      </c>
      <c r="D150" s="4"/>
      <c r="E150" s="4"/>
      <c r="F150" s="4"/>
      <c r="G150" s="4"/>
      <c r="H150" s="4"/>
      <c r="I150" s="4"/>
      <c r="J150" s="21">
        <v>29554</v>
      </c>
      <c r="K150" s="21">
        <v>16954</v>
      </c>
      <c r="L150" s="21">
        <v>15848</v>
      </c>
      <c r="M150" s="21">
        <v>11520</v>
      </c>
      <c r="N150" s="21">
        <v>14753</v>
      </c>
      <c r="O150" s="94" t="s">
        <v>414</v>
      </c>
      <c r="P150" s="94" t="s">
        <v>413</v>
      </c>
      <c r="W150" s="65">
        <f>IF(C150=X150,1,0)</f>
        <v>1</v>
      </c>
      <c r="X150" s="99" t="s">
        <v>86</v>
      </c>
      <c r="Y150" s="94" t="s">
        <v>413</v>
      </c>
      <c r="Z150" s="94" t="s">
        <v>414</v>
      </c>
      <c r="AA150" s="94" t="s">
        <v>415</v>
      </c>
      <c r="AB150" s="94" t="s">
        <v>416</v>
      </c>
      <c r="AC150" s="94" t="s">
        <v>417</v>
      </c>
    </row>
    <row r="151" spans="1:29" s="65" customFormat="1" ht="15" thickBot="1" x14ac:dyDescent="0.35">
      <c r="A151" s="226"/>
      <c r="C151" s="18" t="s">
        <v>88</v>
      </c>
      <c r="D151" s="19"/>
      <c r="E151" s="19"/>
      <c r="F151" s="19"/>
      <c r="G151" s="19"/>
      <c r="H151" s="19"/>
      <c r="I151" s="19"/>
      <c r="J151" s="39"/>
      <c r="K151" s="38"/>
      <c r="L151" s="38"/>
      <c r="M151" s="38"/>
      <c r="N151" s="38"/>
      <c r="O151" s="97"/>
      <c r="P151" s="97"/>
      <c r="W151" s="65">
        <f>IF(C151=X151,1,0)</f>
        <v>1</v>
      </c>
      <c r="X151" s="96" t="s">
        <v>88</v>
      </c>
      <c r="Y151" s="97"/>
      <c r="Z151" s="97"/>
      <c r="AA151" s="97"/>
      <c r="AB151" s="97"/>
      <c r="AC151" s="98"/>
    </row>
    <row r="152" spans="1:29" s="65" customFormat="1" ht="15" thickBot="1" x14ac:dyDescent="0.35">
      <c r="A152" s="226"/>
      <c r="C152" s="4" t="s">
        <v>78</v>
      </c>
      <c r="D152" s="4"/>
      <c r="E152" s="4"/>
      <c r="F152" s="4"/>
      <c r="G152" s="4"/>
      <c r="H152" s="4"/>
      <c r="I152" s="4"/>
      <c r="J152" s="21" t="s">
        <v>79</v>
      </c>
      <c r="K152" s="21" t="s">
        <v>79</v>
      </c>
      <c r="L152" s="21" t="s">
        <v>79</v>
      </c>
      <c r="M152" s="21" t="s">
        <v>79</v>
      </c>
      <c r="N152" s="21" t="s">
        <v>79</v>
      </c>
      <c r="O152" s="94" t="s">
        <v>79</v>
      </c>
      <c r="P152" s="94" t="s">
        <v>79</v>
      </c>
      <c r="W152" s="65">
        <f>IF(C152=X152,1,0)</f>
        <v>1</v>
      </c>
      <c r="X152" s="99" t="s">
        <v>78</v>
      </c>
      <c r="Y152" s="94" t="s">
        <v>79</v>
      </c>
      <c r="Z152" s="94" t="s">
        <v>79</v>
      </c>
      <c r="AA152" s="94" t="s">
        <v>79</v>
      </c>
      <c r="AB152" s="94" t="s">
        <v>79</v>
      </c>
      <c r="AC152" s="94" t="s">
        <v>79</v>
      </c>
    </row>
    <row r="153" spans="1:29" s="65" customFormat="1" ht="15" thickBot="1" x14ac:dyDescent="0.35">
      <c r="A153" s="226"/>
      <c r="C153" s="4" t="s">
        <v>80</v>
      </c>
      <c r="D153" s="4"/>
      <c r="E153" s="4"/>
      <c r="F153" s="4"/>
      <c r="G153" s="4"/>
      <c r="H153" s="4"/>
      <c r="I153" s="4"/>
      <c r="J153" s="21" t="s">
        <v>79</v>
      </c>
      <c r="K153" s="21" t="s">
        <v>79</v>
      </c>
      <c r="L153" s="21" t="s">
        <v>89</v>
      </c>
      <c r="M153" s="21" t="s">
        <v>89</v>
      </c>
      <c r="N153" s="21" t="s">
        <v>89</v>
      </c>
      <c r="O153" s="94"/>
      <c r="P153" s="94"/>
      <c r="X153" s="99"/>
      <c r="Y153" s="94"/>
      <c r="Z153" s="94"/>
      <c r="AA153" s="94"/>
      <c r="AB153" s="94"/>
      <c r="AC153" s="94"/>
    </row>
    <row r="154" spans="1:29" s="65" customFormat="1" ht="29.4" thickBot="1" x14ac:dyDescent="0.35">
      <c r="A154" s="226"/>
      <c r="C154" s="4" t="s">
        <v>81</v>
      </c>
      <c r="D154" s="4"/>
      <c r="E154" s="4"/>
      <c r="F154" s="4"/>
      <c r="G154" s="4"/>
      <c r="H154" s="4"/>
      <c r="I154" s="4"/>
      <c r="J154" s="21">
        <v>778293</v>
      </c>
      <c r="K154" s="21">
        <v>826944</v>
      </c>
      <c r="L154" s="21">
        <v>860754</v>
      </c>
      <c r="M154" s="21">
        <v>886587</v>
      </c>
      <c r="N154" s="21">
        <v>1035375</v>
      </c>
      <c r="O154" s="94" t="s">
        <v>419</v>
      </c>
      <c r="P154" s="94" t="s">
        <v>418</v>
      </c>
      <c r="W154" s="65">
        <f t="shared" ref="W154:W163" si="20">IF(C154=X154,1,0)</f>
        <v>1</v>
      </c>
      <c r="X154" s="99" t="s">
        <v>81</v>
      </c>
      <c r="Y154" s="94" t="s">
        <v>418</v>
      </c>
      <c r="Z154" s="94" t="s">
        <v>419</v>
      </c>
      <c r="AA154" s="94" t="s">
        <v>420</v>
      </c>
      <c r="AB154" s="94" t="s">
        <v>421</v>
      </c>
      <c r="AC154" s="94" t="s">
        <v>422</v>
      </c>
    </row>
    <row r="155" spans="1:29" s="65" customFormat="1" ht="15" thickBot="1" x14ac:dyDescent="0.35">
      <c r="A155" s="226"/>
      <c r="C155" s="37" t="s">
        <v>90</v>
      </c>
      <c r="D155" s="106"/>
      <c r="E155" s="106"/>
      <c r="F155" s="106"/>
      <c r="G155" s="106"/>
      <c r="H155" s="106"/>
      <c r="I155" s="106"/>
      <c r="J155" s="41"/>
      <c r="K155" s="40"/>
      <c r="L155" s="40"/>
      <c r="M155" s="40"/>
      <c r="N155" s="40"/>
      <c r="O155" s="106"/>
      <c r="P155" s="106"/>
      <c r="W155" s="65">
        <f t="shared" si="20"/>
        <v>1</v>
      </c>
      <c r="X155" s="37" t="s">
        <v>90</v>
      </c>
      <c r="Y155" s="106"/>
      <c r="Z155" s="106"/>
      <c r="AA155" s="106"/>
      <c r="AB155" s="106"/>
      <c r="AC155" s="107"/>
    </row>
    <row r="156" spans="1:29" s="65" customFormat="1" ht="15" thickBot="1" x14ac:dyDescent="0.35">
      <c r="A156" s="226"/>
      <c r="C156" s="4" t="s">
        <v>91</v>
      </c>
      <c r="D156" s="4"/>
      <c r="E156" s="4"/>
      <c r="F156" s="4"/>
      <c r="G156" s="4"/>
      <c r="H156" s="4"/>
      <c r="I156" s="4"/>
      <c r="J156" s="21">
        <v>678135</v>
      </c>
      <c r="K156" s="21">
        <v>728409</v>
      </c>
      <c r="L156" s="21">
        <v>742198</v>
      </c>
      <c r="M156" s="21">
        <v>764367</v>
      </c>
      <c r="N156" s="21">
        <v>892277</v>
      </c>
      <c r="O156" s="94" t="s">
        <v>424</v>
      </c>
      <c r="P156" s="94" t="s">
        <v>423</v>
      </c>
      <c r="W156" s="65">
        <f t="shared" si="20"/>
        <v>1</v>
      </c>
      <c r="X156" s="99" t="s">
        <v>91</v>
      </c>
      <c r="Y156" s="94" t="s">
        <v>423</v>
      </c>
      <c r="Z156" s="94" t="s">
        <v>424</v>
      </c>
      <c r="AA156" s="94" t="s">
        <v>425</v>
      </c>
      <c r="AB156" s="94" t="s">
        <v>426</v>
      </c>
      <c r="AC156" s="94" t="s">
        <v>427</v>
      </c>
    </row>
    <row r="157" spans="1:29" s="65" customFormat="1" ht="15" thickBot="1" x14ac:dyDescent="0.35">
      <c r="A157" s="226"/>
      <c r="C157" s="4" t="s">
        <v>92</v>
      </c>
      <c r="D157" s="4"/>
      <c r="E157" s="4"/>
      <c r="F157" s="4"/>
      <c r="G157" s="4"/>
      <c r="H157" s="4"/>
      <c r="I157" s="4"/>
      <c r="J157" s="21">
        <v>0</v>
      </c>
      <c r="K157" s="21">
        <v>0</v>
      </c>
      <c r="L157" s="21">
        <v>0</v>
      </c>
      <c r="M157" s="21">
        <v>0</v>
      </c>
      <c r="N157" s="21">
        <v>0</v>
      </c>
      <c r="O157" s="94">
        <v>0</v>
      </c>
      <c r="P157" s="94">
        <v>0</v>
      </c>
      <c r="W157" s="65">
        <f t="shared" si="20"/>
        <v>1</v>
      </c>
      <c r="X157" s="99" t="s">
        <v>92</v>
      </c>
      <c r="Y157" s="94">
        <v>0</v>
      </c>
      <c r="Z157" s="94">
        <v>0</v>
      </c>
      <c r="AA157" s="94">
        <v>0</v>
      </c>
      <c r="AB157" s="94">
        <v>0</v>
      </c>
      <c r="AC157" s="94">
        <v>0</v>
      </c>
    </row>
    <row r="158" spans="1:29" s="65" customFormat="1" ht="15" thickBot="1" x14ac:dyDescent="0.35">
      <c r="A158" s="226"/>
      <c r="C158" s="27" t="s">
        <v>93</v>
      </c>
      <c r="D158" s="27"/>
      <c r="E158" s="27"/>
      <c r="F158" s="27"/>
      <c r="G158" s="27"/>
      <c r="H158" s="27"/>
      <c r="I158" s="27"/>
      <c r="J158" s="35">
        <v>52971</v>
      </c>
      <c r="K158" s="35">
        <v>52971</v>
      </c>
      <c r="L158" s="35">
        <v>59840</v>
      </c>
      <c r="M158" s="35">
        <v>60309</v>
      </c>
      <c r="N158" s="35">
        <v>60986</v>
      </c>
      <c r="O158" s="94" t="s">
        <v>429</v>
      </c>
      <c r="P158" s="94" t="s">
        <v>428</v>
      </c>
      <c r="W158" s="65">
        <f t="shared" si="20"/>
        <v>1</v>
      </c>
      <c r="X158" s="99" t="s">
        <v>93</v>
      </c>
      <c r="Y158" s="94" t="s">
        <v>428</v>
      </c>
      <c r="Z158" s="94" t="s">
        <v>429</v>
      </c>
      <c r="AA158" s="94" t="s">
        <v>430</v>
      </c>
      <c r="AB158" s="94" t="s">
        <v>431</v>
      </c>
      <c r="AC158" s="94" t="s">
        <v>432</v>
      </c>
    </row>
    <row r="159" spans="1:29" s="65" customFormat="1" ht="15" thickBot="1" x14ac:dyDescent="0.35">
      <c r="A159" s="226"/>
      <c r="C159" s="4" t="s">
        <v>94</v>
      </c>
      <c r="D159" s="4"/>
      <c r="E159" s="4"/>
      <c r="F159" s="4"/>
      <c r="G159" s="4"/>
      <c r="H159" s="4"/>
      <c r="I159" s="4"/>
      <c r="J159" s="21">
        <v>0</v>
      </c>
      <c r="K159" s="21">
        <v>0</v>
      </c>
      <c r="L159" s="21">
        <v>0</v>
      </c>
      <c r="M159" s="21">
        <v>0</v>
      </c>
      <c r="N159" s="21">
        <v>0</v>
      </c>
      <c r="O159" s="94">
        <v>0</v>
      </c>
      <c r="P159" s="94">
        <v>0</v>
      </c>
      <c r="W159" s="65">
        <f t="shared" si="20"/>
        <v>1</v>
      </c>
      <c r="X159" s="99" t="s">
        <v>94</v>
      </c>
      <c r="Y159" s="94">
        <v>0</v>
      </c>
      <c r="Z159" s="94">
        <v>0</v>
      </c>
      <c r="AA159" s="94">
        <v>0</v>
      </c>
      <c r="AB159" s="94">
        <v>0</v>
      </c>
      <c r="AC159" s="94">
        <v>0</v>
      </c>
    </row>
    <row r="160" spans="1:29" s="65" customFormat="1" ht="15" thickBot="1" x14ac:dyDescent="0.35">
      <c r="A160" s="226"/>
      <c r="C160" s="4" t="s">
        <v>95</v>
      </c>
      <c r="D160" s="4"/>
      <c r="E160" s="4"/>
      <c r="F160" s="4"/>
      <c r="G160" s="4"/>
      <c r="H160" s="4"/>
      <c r="I160" s="4"/>
      <c r="J160" s="21">
        <v>0</v>
      </c>
      <c r="K160" s="21">
        <v>0</v>
      </c>
      <c r="L160" s="21">
        <v>8196</v>
      </c>
      <c r="M160" s="21">
        <v>10855</v>
      </c>
      <c r="N160" s="21">
        <v>19240</v>
      </c>
      <c r="O160" s="94">
        <v>0</v>
      </c>
      <c r="P160" s="94">
        <v>0</v>
      </c>
      <c r="W160" s="65">
        <f t="shared" si="20"/>
        <v>1</v>
      </c>
      <c r="X160" s="99" t="s">
        <v>95</v>
      </c>
      <c r="Y160" s="94">
        <v>0</v>
      </c>
      <c r="Z160" s="94">
        <v>0</v>
      </c>
      <c r="AA160" s="94" t="s">
        <v>433</v>
      </c>
      <c r="AB160" s="94" t="s">
        <v>434</v>
      </c>
      <c r="AC160" s="94" t="s">
        <v>435</v>
      </c>
    </row>
    <row r="161" spans="1:29" s="65" customFormat="1" ht="15" thickBot="1" x14ac:dyDescent="0.35">
      <c r="A161" s="226"/>
      <c r="C161" s="4" t="s">
        <v>86</v>
      </c>
      <c r="D161" s="4"/>
      <c r="E161" s="4"/>
      <c r="F161" s="4"/>
      <c r="G161" s="4"/>
      <c r="H161" s="4"/>
      <c r="I161" s="4"/>
      <c r="J161" s="21">
        <v>41133</v>
      </c>
      <c r="K161" s="21">
        <v>39171</v>
      </c>
      <c r="L161" s="21">
        <v>39842</v>
      </c>
      <c r="M161" s="21">
        <v>13593</v>
      </c>
      <c r="N161" s="21">
        <v>12592</v>
      </c>
      <c r="O161" s="94" t="s">
        <v>437</v>
      </c>
      <c r="P161" s="94" t="s">
        <v>436</v>
      </c>
      <c r="W161" s="65">
        <f t="shared" si="20"/>
        <v>1</v>
      </c>
      <c r="X161" s="99" t="s">
        <v>86</v>
      </c>
      <c r="Y161" s="94" t="s">
        <v>436</v>
      </c>
      <c r="Z161" s="94" t="s">
        <v>437</v>
      </c>
      <c r="AA161" s="94" t="s">
        <v>438</v>
      </c>
      <c r="AB161" s="94" t="s">
        <v>439</v>
      </c>
      <c r="AC161" s="94" t="s">
        <v>440</v>
      </c>
    </row>
    <row r="162" spans="1:29" s="65" customFormat="1" ht="15" thickBot="1" x14ac:dyDescent="0.35">
      <c r="A162" s="226"/>
      <c r="C162" s="18" t="s">
        <v>96</v>
      </c>
      <c r="D162" s="19"/>
      <c r="E162" s="19"/>
      <c r="F162" s="19"/>
      <c r="G162" s="19"/>
      <c r="H162" s="19"/>
      <c r="I162" s="19"/>
      <c r="J162" s="39"/>
      <c r="K162" s="38"/>
      <c r="M162" s="38"/>
      <c r="N162" s="38"/>
      <c r="O162" s="97"/>
      <c r="P162" s="97"/>
      <c r="W162" s="65">
        <f t="shared" si="20"/>
        <v>1</v>
      </c>
      <c r="X162" s="96" t="s">
        <v>96</v>
      </c>
      <c r="Y162" s="97"/>
      <c r="Z162" s="97"/>
      <c r="AA162" s="97"/>
      <c r="AB162" s="97"/>
      <c r="AC162" s="98"/>
    </row>
    <row r="163" spans="1:29" s="65" customFormat="1" ht="15" thickBot="1" x14ac:dyDescent="0.35">
      <c r="A163" s="226"/>
      <c r="C163" s="4" t="s">
        <v>78</v>
      </c>
      <c r="D163" s="4"/>
      <c r="E163" s="4"/>
      <c r="F163" s="4"/>
      <c r="G163" s="4"/>
      <c r="H163" s="4"/>
      <c r="I163" s="4"/>
      <c r="J163" s="21" t="s">
        <v>79</v>
      </c>
      <c r="K163" s="21" t="s">
        <v>79</v>
      </c>
      <c r="L163" s="21" t="s">
        <v>79</v>
      </c>
      <c r="M163" s="21" t="s">
        <v>79</v>
      </c>
      <c r="N163" s="21" t="s">
        <v>79</v>
      </c>
      <c r="O163" s="94" t="s">
        <v>79</v>
      </c>
      <c r="P163" s="94" t="s">
        <v>79</v>
      </c>
      <c r="W163" s="65">
        <f t="shared" si="20"/>
        <v>1</v>
      </c>
      <c r="X163" s="99" t="s">
        <v>78</v>
      </c>
      <c r="Y163" s="94" t="s">
        <v>79</v>
      </c>
      <c r="Z163" s="94" t="s">
        <v>79</v>
      </c>
      <c r="AA163" s="94" t="s">
        <v>79</v>
      </c>
      <c r="AB163" s="94" t="s">
        <v>79</v>
      </c>
      <c r="AC163" s="94" t="s">
        <v>79</v>
      </c>
    </row>
    <row r="164" spans="1:29" s="65" customFormat="1" ht="15" thickBot="1" x14ac:dyDescent="0.35">
      <c r="A164" s="226"/>
      <c r="C164" s="4" t="s">
        <v>80</v>
      </c>
      <c r="D164" s="4"/>
      <c r="E164" s="4"/>
      <c r="F164" s="4"/>
      <c r="G164" s="4"/>
      <c r="H164" s="4"/>
      <c r="I164" s="4"/>
      <c r="J164" s="21" t="s">
        <v>79</v>
      </c>
      <c r="K164" s="21" t="s">
        <v>79</v>
      </c>
      <c r="L164" s="21" t="s">
        <v>79</v>
      </c>
      <c r="M164" s="21" t="s">
        <v>79</v>
      </c>
      <c r="N164" s="21" t="s">
        <v>79</v>
      </c>
      <c r="O164" s="94"/>
      <c r="P164" s="94"/>
      <c r="X164" s="99"/>
      <c r="Y164" s="94"/>
      <c r="Z164" s="94"/>
      <c r="AA164" s="94"/>
      <c r="AB164" s="94"/>
      <c r="AC164" s="94"/>
    </row>
    <row r="165" spans="1:29" s="65" customFormat="1" ht="29.4" thickBot="1" x14ac:dyDescent="0.35">
      <c r="A165" s="226"/>
      <c r="C165" s="4" t="s">
        <v>81</v>
      </c>
      <c r="D165" s="4"/>
      <c r="E165" s="4"/>
      <c r="F165" s="4"/>
      <c r="G165" s="4"/>
      <c r="H165" s="4"/>
      <c r="I165" s="4"/>
      <c r="J165" s="21">
        <v>1016919</v>
      </c>
      <c r="K165" s="21">
        <v>1037208</v>
      </c>
      <c r="L165" s="21">
        <v>1048244</v>
      </c>
      <c r="M165" s="21">
        <v>1182997</v>
      </c>
      <c r="N165" s="21">
        <v>1227420</v>
      </c>
      <c r="O165" s="94" t="s">
        <v>442</v>
      </c>
      <c r="P165" s="94" t="s">
        <v>441</v>
      </c>
      <c r="W165" s="65">
        <f>IF(C165=X165,1,0)</f>
        <v>1</v>
      </c>
      <c r="X165" s="99" t="s">
        <v>81</v>
      </c>
      <c r="Y165" s="94" t="s">
        <v>441</v>
      </c>
      <c r="Z165" s="94" t="s">
        <v>442</v>
      </c>
      <c r="AA165" s="94" t="s">
        <v>443</v>
      </c>
      <c r="AB165" s="94" t="s">
        <v>444</v>
      </c>
      <c r="AC165" s="94" t="s">
        <v>445</v>
      </c>
    </row>
    <row r="166" spans="1:29" s="65" customFormat="1" ht="15" thickBot="1" x14ac:dyDescent="0.35">
      <c r="A166" s="226"/>
      <c r="C166" s="4" t="s">
        <v>86</v>
      </c>
      <c r="D166" s="4"/>
      <c r="E166" s="4"/>
      <c r="F166" s="4"/>
      <c r="G166" s="4"/>
      <c r="H166" s="4"/>
      <c r="I166" s="4"/>
      <c r="J166" s="21">
        <v>109713</v>
      </c>
      <c r="K166" s="21">
        <v>111007</v>
      </c>
      <c r="L166" s="21">
        <v>115225</v>
      </c>
      <c r="M166" s="21">
        <v>19924</v>
      </c>
      <c r="N166" s="21">
        <v>18283</v>
      </c>
      <c r="O166" s="94" t="s">
        <v>447</v>
      </c>
      <c r="P166" s="94" t="s">
        <v>446</v>
      </c>
      <c r="W166" s="65">
        <f>IF(C166=X166,1,0)</f>
        <v>1</v>
      </c>
      <c r="X166" s="99" t="s">
        <v>86</v>
      </c>
      <c r="Y166" s="94" t="s">
        <v>446</v>
      </c>
      <c r="Z166" s="94" t="s">
        <v>447</v>
      </c>
      <c r="AA166" s="94" t="s">
        <v>448</v>
      </c>
      <c r="AB166" s="94" t="s">
        <v>449</v>
      </c>
      <c r="AC166" s="94" t="s">
        <v>450</v>
      </c>
    </row>
    <row r="167" spans="1:29" s="65" customFormat="1" x14ac:dyDescent="0.3">
      <c r="A167" s="226"/>
      <c r="C167" s="123" t="s">
        <v>75</v>
      </c>
      <c r="D167" s="123"/>
      <c r="E167" s="123"/>
      <c r="F167" s="123"/>
      <c r="G167" s="123"/>
      <c r="H167" s="123"/>
      <c r="I167" s="123"/>
      <c r="J167" s="123"/>
      <c r="K167" s="123"/>
      <c r="W167" s="65">
        <f>IF(C167=X167,1,0)</f>
        <v>1</v>
      </c>
      <c r="X167" s="122" t="s">
        <v>366</v>
      </c>
    </row>
    <row r="168" spans="1:29" s="65" customFormat="1" x14ac:dyDescent="0.3">
      <c r="A168" s="226"/>
    </row>
    <row r="169" spans="1:29" x14ac:dyDescent="0.3">
      <c r="A169" s="226"/>
    </row>
    <row r="175" spans="1:29" ht="15" thickBot="1" x14ac:dyDescent="0.35"/>
    <row r="176" spans="1:29" ht="15" thickBot="1" x14ac:dyDescent="0.35">
      <c r="C176" t="s">
        <v>528</v>
      </c>
      <c r="L176" s="21"/>
      <c r="M176" s="21"/>
      <c r="N176" s="21"/>
      <c r="O176" s="21"/>
      <c r="P176" s="21"/>
    </row>
    <row r="177" spans="3:16" ht="15" thickBot="1" x14ac:dyDescent="0.35">
      <c r="C177" s="18" t="s">
        <v>48</v>
      </c>
      <c r="L177" s="21"/>
      <c r="M177" s="21"/>
      <c r="N177" s="21"/>
      <c r="O177" s="21"/>
      <c r="P177" s="21"/>
    </row>
    <row r="178" spans="3:16" ht="15" thickBot="1" x14ac:dyDescent="0.35">
      <c r="C178" s="4" t="s">
        <v>49</v>
      </c>
      <c r="L178" s="21">
        <v>435476</v>
      </c>
      <c r="M178" s="21">
        <v>493867</v>
      </c>
      <c r="N178" s="21">
        <v>682146</v>
      </c>
      <c r="O178" s="21">
        <v>1199590</v>
      </c>
      <c r="P178" s="21">
        <v>1305578</v>
      </c>
    </row>
    <row r="179" spans="3:16" ht="15" thickBot="1" x14ac:dyDescent="0.35">
      <c r="C179" s="4" t="s">
        <v>527</v>
      </c>
      <c r="L179" s="21"/>
      <c r="M179" s="21"/>
      <c r="N179" s="21"/>
      <c r="O179" s="21">
        <v>-387560</v>
      </c>
      <c r="P179" s="21">
        <v>-805</v>
      </c>
    </row>
    <row r="180" spans="3:16" ht="15" thickBot="1" x14ac:dyDescent="0.35">
      <c r="C180" s="4" t="s">
        <v>50</v>
      </c>
      <c r="L180" s="21">
        <v>1644262</v>
      </c>
      <c r="M180" s="21">
        <v>2131507</v>
      </c>
      <c r="N180" s="21">
        <v>3105187</v>
      </c>
      <c r="O180" s="21">
        <v>2670906</v>
      </c>
      <c r="P180" s="21">
        <v>3174643</v>
      </c>
    </row>
    <row r="181" spans="3:16" ht="15" thickBot="1" x14ac:dyDescent="0.35">
      <c r="C181" s="4" t="s">
        <v>51</v>
      </c>
      <c r="L181" s="169">
        <v>51696</v>
      </c>
      <c r="M181" s="169">
        <v>184602</v>
      </c>
      <c r="N181" s="169">
        <v>67925</v>
      </c>
      <c r="O181" s="169">
        <v>247855</v>
      </c>
      <c r="P181" s="169">
        <v>500302</v>
      </c>
    </row>
    <row r="182" spans="3:16" ht="15" thickBot="1" x14ac:dyDescent="0.35">
      <c r="C182" s="168" t="s">
        <v>524</v>
      </c>
      <c r="L182" s="172">
        <f>SUM(L178:L181)</f>
        <v>2131434</v>
      </c>
      <c r="M182" s="172">
        <f>SUM(M178:M181)</f>
        <v>2809976</v>
      </c>
      <c r="N182" s="172">
        <f>SUM(N178:N181)</f>
        <v>3855258</v>
      </c>
      <c r="O182" s="172">
        <f>SUM(O178:O181)</f>
        <v>3730791</v>
      </c>
      <c r="P182" s="172">
        <f>SUM(P178:P181)</f>
        <v>4979718</v>
      </c>
    </row>
    <row r="183" spans="3:16" ht="15.6" thickTop="1" thickBot="1" x14ac:dyDescent="0.35">
      <c r="L183" s="21"/>
      <c r="M183" s="21"/>
      <c r="N183" s="21"/>
      <c r="O183" s="184"/>
      <c r="P183" s="21"/>
    </row>
    <row r="184" spans="3:16" ht="15" thickBot="1" x14ac:dyDescent="0.35">
      <c r="C184" s="12" t="s">
        <v>529</v>
      </c>
    </row>
    <row r="185" spans="3:16" ht="15" thickBot="1" x14ac:dyDescent="0.35">
      <c r="C185" s="18" t="s">
        <v>48</v>
      </c>
    </row>
    <row r="186" spans="3:16" ht="15" thickBot="1" x14ac:dyDescent="0.35">
      <c r="C186" s="4" t="s">
        <v>49</v>
      </c>
      <c r="L186" s="21">
        <v>304505</v>
      </c>
      <c r="M186" s="21">
        <v>480628</v>
      </c>
      <c r="N186" s="21">
        <v>59468</v>
      </c>
      <c r="O186" s="21">
        <v>1003250</v>
      </c>
      <c r="P186" s="21">
        <v>4246083</v>
      </c>
    </row>
    <row r="187" spans="3:16" ht="15" thickBot="1" x14ac:dyDescent="0.35">
      <c r="C187" s="4" t="s">
        <v>527</v>
      </c>
      <c r="L187" s="21"/>
      <c r="M187" s="21"/>
      <c r="N187" s="21"/>
      <c r="O187" s="21"/>
      <c r="P187" s="21"/>
    </row>
    <row r="188" spans="3:16" ht="15" thickBot="1" x14ac:dyDescent="0.35">
      <c r="C188" s="4" t="s">
        <v>50</v>
      </c>
      <c r="L188" s="21">
        <v>868306</v>
      </c>
      <c r="M188" s="21">
        <v>816239</v>
      </c>
      <c r="N188" s="21">
        <v>1045558</v>
      </c>
      <c r="O188" s="21">
        <v>1118009</v>
      </c>
      <c r="P188" s="21">
        <v>1384993</v>
      </c>
    </row>
    <row r="189" spans="3:16" ht="15" thickBot="1" x14ac:dyDescent="0.35">
      <c r="C189" s="4" t="s">
        <v>51</v>
      </c>
      <c r="L189" s="169">
        <v>9064</v>
      </c>
      <c r="M189" s="169">
        <v>116977</v>
      </c>
      <c r="N189" s="169">
        <v>25172</v>
      </c>
      <c r="O189" s="169">
        <v>11380</v>
      </c>
      <c r="P189" s="169">
        <v>490033</v>
      </c>
    </row>
    <row r="190" spans="3:16" ht="15" thickBot="1" x14ac:dyDescent="0.35">
      <c r="C190" s="168" t="s">
        <v>524</v>
      </c>
      <c r="L190" s="172">
        <f>SUM(L186:L189)</f>
        <v>1181875</v>
      </c>
      <c r="M190" s="172">
        <f>SUM(M186:M189)</f>
        <v>1413844</v>
      </c>
      <c r="N190" s="172">
        <f>SUM(N186:N189)</f>
        <v>1130198</v>
      </c>
      <c r="O190" s="172">
        <f>SUM(O186:O189)</f>
        <v>2132639</v>
      </c>
      <c r="P190" s="172">
        <f>SUM(P186:P189)</f>
        <v>6121109</v>
      </c>
    </row>
    <row r="191" spans="3:16" ht="15" thickTop="1" x14ac:dyDescent="0.3"/>
  </sheetData>
  <mergeCells count="4">
    <mergeCell ref="A6:A55"/>
    <mergeCell ref="A62:A109"/>
    <mergeCell ref="A114:A131"/>
    <mergeCell ref="A135:A169"/>
  </mergeCells>
  <hyperlinks>
    <hyperlink ref="C8" r:id="rId1" display="https://municipalities.co.za/financial/2/city-of-johannesburg-metropolitan-municipality" xr:uid="{57703ECA-3927-4464-94D4-7A7ECD71FCAD}"/>
    <hyperlink ref="C59" r:id="rId2" xr:uid="{226CF289-B486-4A80-B8C9-5C99CDE30C8E}"/>
    <hyperlink ref="C5" r:id="rId3" xr:uid="{C38D75A5-37D6-43BB-9203-055BC9DBBC80}"/>
    <hyperlink ref="C113" r:id="rId4" xr:uid="{3958FD6D-9783-4F3F-AA37-D8F74DE65650}"/>
    <hyperlink ref="C134" r:id="rId5" display="https://municipalities.co.za/services/2/city-of-johannesburg-metropolitan-municipality" xr:uid="{382DC85F-34F8-48F3-8314-F80CF9639A5F}"/>
    <hyperlink ref="X8" r:id="rId6" display="https://municipalities.co.za/financial/2/city-of-johannesburg-metropolitan-municipality" xr:uid="{32885F5F-2366-4A54-A24F-EFB44865BD15}"/>
    <hyperlink ref="L6" r:id="rId7" xr:uid="{FAF006D8-9721-47E0-926E-E3948990418D}"/>
    <hyperlink ref="L3" location="Contents!E9" display="Contents!E9" xr:uid="{80BD6175-C4F4-4790-8293-62B4D8D9D906}"/>
  </hyperlinks>
  <printOptions headings="1"/>
  <pageMargins left="0.23622047244094491" right="0.15748031496062992" top="0.39370078740157483" bottom="0.35433070866141736" header="0.15748031496062992" footer="0.11811023622047245"/>
  <pageSetup paperSize="9" scale="53" fitToHeight="4" orientation="landscape" r:id="rId8"/>
  <headerFooter>
    <oddFooter>&amp;R&amp;F &amp;A &amp;D P&amp;P/&amp;N</oddFooter>
  </headerFooter>
  <rowBreaks count="2" manualBreakCount="2">
    <brk id="60" max="16383" man="1"/>
    <brk id="111" max="16383" man="1"/>
  </rowBreaks>
  <legacyDrawing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B471F-0CD9-4CD1-A46D-BE5CF4F29992}">
  <dimension ref="C1:S106"/>
  <sheetViews>
    <sheetView view="pageBreakPreview" topLeftCell="A3" zoomScale="80" zoomScaleNormal="100" zoomScaleSheetLayoutView="80" workbookViewId="0">
      <selection activeCell="H3" sqref="H3"/>
    </sheetView>
  </sheetViews>
  <sheetFormatPr defaultRowHeight="14.4" outlineLevelCol="1" x14ac:dyDescent="0.3"/>
  <cols>
    <col min="1" max="2" width="3.21875" customWidth="1"/>
    <col min="3" max="3" width="51.44140625" customWidth="1"/>
    <col min="4" max="10" width="15.5546875" customWidth="1"/>
    <col min="12" max="12" width="0" hidden="1" customWidth="1" outlineLevel="1"/>
    <col min="13" max="13" width="83.77734375" hidden="1" customWidth="1" outlineLevel="1"/>
    <col min="14" max="14" width="8" hidden="1" customWidth="1" outlineLevel="1"/>
    <col min="15" max="18" width="19.77734375" hidden="1" customWidth="1" outlineLevel="1"/>
    <col min="19" max="19" width="8.77734375" collapsed="1"/>
  </cols>
  <sheetData>
    <row r="1" spans="3:18" ht="18" x14ac:dyDescent="0.35">
      <c r="C1" s="78" t="s">
        <v>234</v>
      </c>
    </row>
    <row r="2" spans="3:18" ht="18" x14ac:dyDescent="0.35">
      <c r="C2" s="78" t="s">
        <v>240</v>
      </c>
      <c r="I2" s="160" t="s">
        <v>518</v>
      </c>
    </row>
    <row r="3" spans="3:18" ht="18" x14ac:dyDescent="0.35">
      <c r="C3" s="78" t="s">
        <v>238</v>
      </c>
    </row>
    <row r="5" spans="3:18" x14ac:dyDescent="0.3">
      <c r="C5" s="11" t="s">
        <v>58</v>
      </c>
    </row>
    <row r="7" spans="3:18" ht="16.2" thickBot="1" x14ac:dyDescent="0.35">
      <c r="C7" s="1" t="s">
        <v>57</v>
      </c>
      <c r="M7" s="90" t="s">
        <v>57</v>
      </c>
    </row>
    <row r="8" spans="3:18" ht="15" thickBot="1" x14ac:dyDescent="0.35">
      <c r="C8" s="10" t="s">
        <v>0</v>
      </c>
      <c r="D8" s="7" t="s">
        <v>5</v>
      </c>
      <c r="E8" s="7" t="s">
        <v>4</v>
      </c>
      <c r="F8" s="7" t="s">
        <v>3</v>
      </c>
      <c r="G8" s="7" t="s">
        <v>2</v>
      </c>
      <c r="H8" s="7" t="s">
        <v>1</v>
      </c>
      <c r="I8" s="92" t="s">
        <v>232</v>
      </c>
      <c r="J8" s="92" t="s">
        <v>245</v>
      </c>
      <c r="M8" s="91" t="s">
        <v>0</v>
      </c>
      <c r="N8" s="92" t="s">
        <v>245</v>
      </c>
      <c r="O8" s="92" t="s">
        <v>232</v>
      </c>
      <c r="P8" s="92" t="s">
        <v>1</v>
      </c>
      <c r="Q8" s="92" t="s">
        <v>2</v>
      </c>
      <c r="R8" s="92" t="s">
        <v>3</v>
      </c>
    </row>
    <row r="9" spans="3:18" ht="29.4" thickBot="1" x14ac:dyDescent="0.35">
      <c r="C9" s="2" t="s">
        <v>6</v>
      </c>
      <c r="D9" s="3" t="s">
        <v>7</v>
      </c>
      <c r="E9" s="3" t="s">
        <v>7</v>
      </c>
      <c r="F9" s="3" t="s">
        <v>7</v>
      </c>
      <c r="G9" s="3" t="s">
        <v>7</v>
      </c>
      <c r="H9" s="3" t="s">
        <v>7</v>
      </c>
      <c r="I9" s="3" t="s">
        <v>7</v>
      </c>
      <c r="J9" s="94" t="s">
        <v>33</v>
      </c>
      <c r="M9" s="93" t="s">
        <v>6</v>
      </c>
      <c r="N9" s="94" t="s">
        <v>33</v>
      </c>
      <c r="O9" s="95" t="s">
        <v>7</v>
      </c>
      <c r="P9" s="95" t="s">
        <v>7</v>
      </c>
      <c r="Q9" s="95" t="s">
        <v>7</v>
      </c>
      <c r="R9" s="95" t="s">
        <v>7</v>
      </c>
    </row>
    <row r="10" spans="3:18" ht="15" thickBot="1" x14ac:dyDescent="0.35">
      <c r="C10" s="13" t="s">
        <v>8</v>
      </c>
      <c r="D10" s="15"/>
      <c r="E10" s="14"/>
      <c r="F10" s="14"/>
      <c r="G10" s="14"/>
      <c r="H10" s="14"/>
      <c r="I10" s="19"/>
      <c r="J10" s="19"/>
      <c r="L10">
        <f>IF(C10=M10,1,0)</f>
        <v>1</v>
      </c>
      <c r="M10" s="18" t="s">
        <v>8</v>
      </c>
      <c r="N10" s="19"/>
      <c r="O10" s="19"/>
      <c r="P10" s="19"/>
      <c r="Q10" s="19"/>
      <c r="R10" s="20"/>
    </row>
    <row r="11" spans="3:18" ht="15" thickBot="1" x14ac:dyDescent="0.35">
      <c r="C11" s="4" t="s">
        <v>9</v>
      </c>
      <c r="D11" s="21">
        <v>10000185</v>
      </c>
      <c r="E11" s="21">
        <v>12371980</v>
      </c>
      <c r="F11" s="21">
        <v>12552806</v>
      </c>
      <c r="G11" s="21">
        <v>13035302</v>
      </c>
      <c r="H11" s="21">
        <v>13502187</v>
      </c>
      <c r="I11" s="21">
        <v>13502187</v>
      </c>
      <c r="J11" s="94" t="s">
        <v>33</v>
      </c>
      <c r="L11">
        <f t="shared" ref="L11:L34" si="0">IF(C11=M11,1,0)</f>
        <v>1</v>
      </c>
      <c r="M11" s="99" t="s">
        <v>9</v>
      </c>
      <c r="N11" s="94" t="s">
        <v>33</v>
      </c>
      <c r="O11" s="94" t="s">
        <v>246</v>
      </c>
      <c r="P11" s="94" t="s">
        <v>246</v>
      </c>
      <c r="Q11" s="94" t="s">
        <v>247</v>
      </c>
      <c r="R11" s="94" t="s">
        <v>248</v>
      </c>
    </row>
    <row r="12" spans="3:18" ht="15" thickBot="1" x14ac:dyDescent="0.35">
      <c r="C12" s="4" t="s">
        <v>10</v>
      </c>
      <c r="D12" s="21">
        <v>25575026</v>
      </c>
      <c r="E12" s="21">
        <v>28531454</v>
      </c>
      <c r="F12" s="21">
        <v>30528307</v>
      </c>
      <c r="G12" s="21">
        <v>32125722</v>
      </c>
      <c r="H12" s="21">
        <v>33247397</v>
      </c>
      <c r="I12" s="21">
        <v>33247397</v>
      </c>
      <c r="J12" s="94" t="s">
        <v>33</v>
      </c>
      <c r="L12">
        <f t="shared" si="0"/>
        <v>1</v>
      </c>
      <c r="M12" s="99" t="s">
        <v>10</v>
      </c>
      <c r="N12" s="94" t="s">
        <v>33</v>
      </c>
      <c r="O12" s="94" t="s">
        <v>249</v>
      </c>
      <c r="P12" s="94" t="s">
        <v>249</v>
      </c>
      <c r="Q12" s="94" t="s">
        <v>250</v>
      </c>
      <c r="R12" s="94" t="s">
        <v>251</v>
      </c>
    </row>
    <row r="13" spans="3:18" ht="15" thickBot="1" x14ac:dyDescent="0.35">
      <c r="C13" s="4" t="s">
        <v>11</v>
      </c>
      <c r="D13" s="21">
        <v>540769</v>
      </c>
      <c r="E13" s="21">
        <v>535883</v>
      </c>
      <c r="F13" s="21">
        <v>363362</v>
      </c>
      <c r="G13" s="21">
        <v>282486</v>
      </c>
      <c r="H13" s="21">
        <v>198911</v>
      </c>
      <c r="I13" s="21">
        <v>198911</v>
      </c>
      <c r="J13" s="94" t="s">
        <v>33</v>
      </c>
      <c r="L13">
        <f t="shared" si="0"/>
        <v>1</v>
      </c>
      <c r="M13" s="99" t="s">
        <v>11</v>
      </c>
      <c r="N13" s="94" t="s">
        <v>33</v>
      </c>
      <c r="O13" s="94" t="s">
        <v>252</v>
      </c>
      <c r="P13" s="94" t="s">
        <v>252</v>
      </c>
      <c r="Q13" s="94" t="s">
        <v>253</v>
      </c>
      <c r="R13" s="94" t="s">
        <v>254</v>
      </c>
    </row>
    <row r="14" spans="3:18" ht="15" thickBot="1" x14ac:dyDescent="0.35">
      <c r="C14" s="4" t="s">
        <v>12</v>
      </c>
      <c r="D14" s="21">
        <v>8268228</v>
      </c>
      <c r="E14" s="21">
        <v>12663044</v>
      </c>
      <c r="F14" s="21">
        <v>13315287</v>
      </c>
      <c r="G14" s="21">
        <v>14975039</v>
      </c>
      <c r="H14" s="21">
        <v>10719529</v>
      </c>
      <c r="I14" s="21">
        <v>10719529</v>
      </c>
      <c r="J14" s="94" t="s">
        <v>33</v>
      </c>
      <c r="L14">
        <f t="shared" si="0"/>
        <v>1</v>
      </c>
      <c r="M14" s="99" t="s">
        <v>12</v>
      </c>
      <c r="N14" s="94" t="s">
        <v>33</v>
      </c>
      <c r="O14" s="94" t="s">
        <v>255</v>
      </c>
      <c r="P14" s="94" t="s">
        <v>255</v>
      </c>
      <c r="Q14" s="94" t="s">
        <v>256</v>
      </c>
      <c r="R14" s="94" t="s">
        <v>257</v>
      </c>
    </row>
    <row r="15" spans="3:18" ht="15" thickBot="1" x14ac:dyDescent="0.35">
      <c r="C15" s="4" t="s">
        <v>13</v>
      </c>
      <c r="D15" s="21">
        <v>6148312</v>
      </c>
      <c r="E15" s="21">
        <v>7216835</v>
      </c>
      <c r="F15" s="21">
        <v>6591793</v>
      </c>
      <c r="G15" s="21">
        <v>7857844</v>
      </c>
      <c r="H15" s="21">
        <v>3600786</v>
      </c>
      <c r="I15" s="21">
        <v>2980152</v>
      </c>
      <c r="J15" s="94" t="s">
        <v>33</v>
      </c>
      <c r="L15">
        <f t="shared" si="0"/>
        <v>1</v>
      </c>
      <c r="M15" s="99" t="s">
        <v>13</v>
      </c>
      <c r="N15" s="94" t="s">
        <v>33</v>
      </c>
      <c r="O15" s="94" t="s">
        <v>258</v>
      </c>
      <c r="P15" s="94" t="s">
        <v>258</v>
      </c>
      <c r="Q15" s="94" t="s">
        <v>259</v>
      </c>
      <c r="R15" s="94" t="s">
        <v>260</v>
      </c>
    </row>
    <row r="16" spans="3:18" ht="28.5" customHeight="1" thickBot="1" x14ac:dyDescent="0.35">
      <c r="C16" s="6" t="s">
        <v>14</v>
      </c>
      <c r="D16" s="22">
        <v>50532519</v>
      </c>
      <c r="E16" s="22">
        <v>61319197</v>
      </c>
      <c r="F16" s="22">
        <v>63351554</v>
      </c>
      <c r="G16" s="22">
        <v>68276394</v>
      </c>
      <c r="H16" s="22">
        <v>61268811</v>
      </c>
      <c r="I16" s="22">
        <v>60648177</v>
      </c>
      <c r="J16" s="92" t="s">
        <v>33</v>
      </c>
      <c r="L16">
        <f t="shared" si="0"/>
        <v>1</v>
      </c>
      <c r="M16" s="100" t="s">
        <v>14</v>
      </c>
      <c r="N16" s="92" t="s">
        <v>33</v>
      </c>
      <c r="O16" s="92" t="s">
        <v>261</v>
      </c>
      <c r="P16" s="92" t="s">
        <v>261</v>
      </c>
      <c r="Q16" s="92" t="s">
        <v>262</v>
      </c>
      <c r="R16" s="92" t="s">
        <v>263</v>
      </c>
    </row>
    <row r="17" spans="3:18" ht="15" thickBot="1" x14ac:dyDescent="0.35">
      <c r="C17" s="4" t="s">
        <v>15</v>
      </c>
      <c r="D17" s="21">
        <v>11631360</v>
      </c>
      <c r="E17" s="21">
        <v>13555280</v>
      </c>
      <c r="F17" s="21">
        <v>14852303</v>
      </c>
      <c r="G17" s="21">
        <v>15844916</v>
      </c>
      <c r="H17" s="21">
        <v>15756481</v>
      </c>
      <c r="I17" s="21">
        <v>15756481</v>
      </c>
      <c r="J17" s="94" t="s">
        <v>33</v>
      </c>
      <c r="L17">
        <f t="shared" si="0"/>
        <v>1</v>
      </c>
      <c r="M17" s="99" t="s">
        <v>15</v>
      </c>
      <c r="N17" s="94" t="s">
        <v>33</v>
      </c>
      <c r="O17" s="94" t="s">
        <v>264</v>
      </c>
      <c r="P17" s="94" t="s">
        <v>264</v>
      </c>
      <c r="Q17" s="94" t="s">
        <v>265</v>
      </c>
      <c r="R17" s="94" t="s">
        <v>266</v>
      </c>
    </row>
    <row r="18" spans="3:18" ht="15" thickBot="1" x14ac:dyDescent="0.35">
      <c r="C18" s="4" t="s">
        <v>16</v>
      </c>
      <c r="D18" s="21">
        <v>170203</v>
      </c>
      <c r="E18" s="21">
        <v>162088</v>
      </c>
      <c r="F18" s="21">
        <v>166266</v>
      </c>
      <c r="G18" s="21">
        <v>168115</v>
      </c>
      <c r="H18" s="21">
        <v>163541</v>
      </c>
      <c r="I18" s="21">
        <v>163541</v>
      </c>
      <c r="J18" s="94" t="s">
        <v>33</v>
      </c>
      <c r="L18">
        <f t="shared" si="0"/>
        <v>1</v>
      </c>
      <c r="M18" s="99" t="s">
        <v>16</v>
      </c>
      <c r="N18" s="94" t="s">
        <v>33</v>
      </c>
      <c r="O18" s="94" t="s">
        <v>267</v>
      </c>
      <c r="P18" s="94" t="s">
        <v>267</v>
      </c>
      <c r="Q18" s="94" t="s">
        <v>268</v>
      </c>
      <c r="R18" s="94" t="s">
        <v>269</v>
      </c>
    </row>
    <row r="19" spans="3:18" ht="15" thickBot="1" x14ac:dyDescent="0.35">
      <c r="C19" s="4" t="s">
        <v>17</v>
      </c>
      <c r="D19" s="21">
        <v>3148286</v>
      </c>
      <c r="E19" s="21">
        <v>3346085</v>
      </c>
      <c r="F19" s="21">
        <v>3293980</v>
      </c>
      <c r="G19" s="21">
        <v>3997697</v>
      </c>
      <c r="H19" s="21">
        <v>3767044</v>
      </c>
      <c r="I19" s="21">
        <v>3767044</v>
      </c>
      <c r="J19" s="94" t="s">
        <v>33</v>
      </c>
      <c r="L19">
        <f t="shared" si="0"/>
        <v>0</v>
      </c>
      <c r="M19" s="99" t="s">
        <v>270</v>
      </c>
      <c r="N19" s="94" t="s">
        <v>33</v>
      </c>
      <c r="O19" s="94" t="s">
        <v>271</v>
      </c>
      <c r="P19" s="94" t="s">
        <v>271</v>
      </c>
      <c r="Q19" s="94" t="s">
        <v>272</v>
      </c>
      <c r="R19" s="94" t="s">
        <v>273</v>
      </c>
    </row>
    <row r="20" spans="3:18" ht="15" thickBot="1" x14ac:dyDescent="0.35">
      <c r="C20" s="4" t="s">
        <v>18</v>
      </c>
      <c r="D20" s="21">
        <v>2917619</v>
      </c>
      <c r="E20" s="21">
        <v>3526906</v>
      </c>
      <c r="F20" s="21">
        <v>3885854</v>
      </c>
      <c r="G20" s="21">
        <v>3784792</v>
      </c>
      <c r="H20" s="21">
        <v>2746262</v>
      </c>
      <c r="I20" s="21">
        <v>2746262</v>
      </c>
      <c r="J20" s="94" t="s">
        <v>33</v>
      </c>
      <c r="L20">
        <f t="shared" si="0"/>
        <v>1</v>
      </c>
      <c r="M20" s="99" t="s">
        <v>18</v>
      </c>
      <c r="N20" s="94" t="s">
        <v>33</v>
      </c>
      <c r="O20" s="94" t="s">
        <v>274</v>
      </c>
      <c r="P20" s="94" t="s">
        <v>274</v>
      </c>
      <c r="Q20" s="94" t="s">
        <v>275</v>
      </c>
      <c r="R20" s="94" t="s">
        <v>276</v>
      </c>
    </row>
    <row r="21" spans="3:18" ht="15" thickBot="1" x14ac:dyDescent="0.35">
      <c r="C21" s="4" t="s">
        <v>19</v>
      </c>
      <c r="D21" s="21">
        <v>16719787</v>
      </c>
      <c r="E21" s="21">
        <v>16810805</v>
      </c>
      <c r="F21" s="21">
        <v>18065918</v>
      </c>
      <c r="G21" s="21">
        <v>18665656</v>
      </c>
      <c r="H21" s="21">
        <v>20949269</v>
      </c>
      <c r="I21" s="21">
        <v>20949278</v>
      </c>
      <c r="J21" s="94" t="s">
        <v>33</v>
      </c>
      <c r="L21">
        <f t="shared" si="0"/>
        <v>0</v>
      </c>
      <c r="M21" s="99" t="s">
        <v>277</v>
      </c>
      <c r="N21" s="94" t="s">
        <v>33</v>
      </c>
      <c r="O21" s="94" t="s">
        <v>278</v>
      </c>
      <c r="P21" s="94" t="s">
        <v>279</v>
      </c>
      <c r="Q21" s="94" t="s">
        <v>280</v>
      </c>
      <c r="R21" s="94" t="s">
        <v>281</v>
      </c>
    </row>
    <row r="22" spans="3:18" ht="15" thickBot="1" x14ac:dyDescent="0.35">
      <c r="C22" s="4" t="s">
        <v>20</v>
      </c>
      <c r="D22" s="21">
        <v>314962</v>
      </c>
      <c r="E22" s="21">
        <v>143236</v>
      </c>
      <c r="F22" s="21">
        <v>4827300</v>
      </c>
      <c r="G22" s="21">
        <v>4210130</v>
      </c>
      <c r="H22" s="21">
        <v>144371</v>
      </c>
      <c r="I22" s="21">
        <v>144371</v>
      </c>
      <c r="J22" s="94" t="s">
        <v>33</v>
      </c>
      <c r="L22">
        <f t="shared" si="0"/>
        <v>0</v>
      </c>
      <c r="M22" s="99" t="s">
        <v>282</v>
      </c>
      <c r="N22" s="94" t="s">
        <v>33</v>
      </c>
      <c r="O22" s="94" t="s">
        <v>283</v>
      </c>
      <c r="P22" s="94" t="s">
        <v>283</v>
      </c>
      <c r="Q22" s="94" t="s">
        <v>284</v>
      </c>
      <c r="R22" s="94" t="s">
        <v>285</v>
      </c>
    </row>
    <row r="23" spans="3:18" ht="15" thickBot="1" x14ac:dyDescent="0.35">
      <c r="C23" s="4" t="s">
        <v>21</v>
      </c>
      <c r="D23" s="21">
        <v>13325228</v>
      </c>
      <c r="E23" s="21">
        <v>20461183</v>
      </c>
      <c r="F23" s="21">
        <v>18051764</v>
      </c>
      <c r="G23" s="21">
        <v>21810332</v>
      </c>
      <c r="H23" s="21">
        <v>18300455</v>
      </c>
      <c r="I23" s="21">
        <v>18300456</v>
      </c>
      <c r="J23" s="94" t="s">
        <v>33</v>
      </c>
      <c r="L23">
        <f t="shared" si="0"/>
        <v>1</v>
      </c>
      <c r="M23" s="99" t="s">
        <v>21</v>
      </c>
      <c r="N23" s="94" t="s">
        <v>33</v>
      </c>
      <c r="O23" s="94" t="s">
        <v>286</v>
      </c>
      <c r="P23" s="94" t="s">
        <v>287</v>
      </c>
      <c r="Q23" s="94" t="s">
        <v>288</v>
      </c>
      <c r="R23" s="94" t="s">
        <v>289</v>
      </c>
    </row>
    <row r="24" spans="3:18" ht="15" thickBot="1" x14ac:dyDescent="0.35">
      <c r="C24" s="6" t="s">
        <v>22</v>
      </c>
      <c r="D24" s="22">
        <v>48227444</v>
      </c>
      <c r="E24" s="22">
        <v>58005583</v>
      </c>
      <c r="F24" s="22">
        <v>63143385</v>
      </c>
      <c r="G24" s="22">
        <v>68481638</v>
      </c>
      <c r="H24" s="22">
        <v>61827425</v>
      </c>
      <c r="I24" s="22">
        <v>61827435</v>
      </c>
      <c r="J24" s="92" t="s">
        <v>33</v>
      </c>
      <c r="L24">
        <f t="shared" si="0"/>
        <v>1</v>
      </c>
      <c r="M24" s="100" t="s">
        <v>22</v>
      </c>
      <c r="N24" s="92" t="s">
        <v>33</v>
      </c>
      <c r="O24" s="92" t="s">
        <v>290</v>
      </c>
      <c r="P24" s="92" t="s">
        <v>291</v>
      </c>
      <c r="Q24" s="92" t="s">
        <v>292</v>
      </c>
      <c r="R24" s="92" t="s">
        <v>293</v>
      </c>
    </row>
    <row r="25" spans="3:18" ht="15" thickBot="1" x14ac:dyDescent="0.35">
      <c r="C25" s="6" t="s">
        <v>23</v>
      </c>
      <c r="D25" s="22">
        <v>2305075</v>
      </c>
      <c r="E25" s="22">
        <v>3313614</v>
      </c>
      <c r="F25" s="22">
        <v>208169</v>
      </c>
      <c r="G25" s="22">
        <v>-205244</v>
      </c>
      <c r="H25" s="22">
        <v>-558613</v>
      </c>
      <c r="I25" s="22">
        <v>-1179258</v>
      </c>
      <c r="J25" s="92" t="s">
        <v>33</v>
      </c>
      <c r="L25">
        <f t="shared" si="0"/>
        <v>1</v>
      </c>
      <c r="M25" s="100" t="s">
        <v>23</v>
      </c>
      <c r="N25" s="92" t="s">
        <v>33</v>
      </c>
      <c r="O25" s="92" t="s">
        <v>294</v>
      </c>
      <c r="P25" s="92" t="s">
        <v>295</v>
      </c>
      <c r="Q25" s="92" t="s">
        <v>296</v>
      </c>
      <c r="R25" s="92" t="s">
        <v>297</v>
      </c>
    </row>
    <row r="26" spans="3:18" ht="15" thickBot="1" x14ac:dyDescent="0.35">
      <c r="C26" s="4" t="s">
        <v>24</v>
      </c>
      <c r="D26" s="21">
        <v>489027</v>
      </c>
      <c r="E26" s="21">
        <v>2860836</v>
      </c>
      <c r="F26" s="21">
        <v>2535521</v>
      </c>
      <c r="G26" s="21">
        <v>2565592</v>
      </c>
      <c r="H26" s="21">
        <v>1478299</v>
      </c>
      <c r="I26" s="21">
        <v>1811395</v>
      </c>
      <c r="J26" s="94" t="s">
        <v>33</v>
      </c>
      <c r="L26">
        <f t="shared" si="0"/>
        <v>0</v>
      </c>
      <c r="M26" s="99" t="s">
        <v>298</v>
      </c>
      <c r="N26" s="94" t="s">
        <v>33</v>
      </c>
      <c r="O26" s="94" t="s">
        <v>299</v>
      </c>
      <c r="P26" s="94" t="s">
        <v>299</v>
      </c>
      <c r="Q26" s="94" t="s">
        <v>300</v>
      </c>
      <c r="R26" s="94" t="s">
        <v>301</v>
      </c>
    </row>
    <row r="27" spans="3:18" ht="15" thickBot="1" x14ac:dyDescent="0.35">
      <c r="C27" s="4" t="s">
        <v>25</v>
      </c>
      <c r="D27" s="21">
        <v>2093733</v>
      </c>
      <c r="E27" s="21">
        <v>2479</v>
      </c>
      <c r="F27" s="21">
        <v>331889</v>
      </c>
      <c r="G27" s="21">
        <v>40040</v>
      </c>
      <c r="H27" s="21">
        <v>333096</v>
      </c>
      <c r="I27" s="21" t="s">
        <v>28</v>
      </c>
      <c r="J27" s="94" t="s">
        <v>33</v>
      </c>
      <c r="L27">
        <f t="shared" si="0"/>
        <v>0</v>
      </c>
      <c r="M27" s="99" t="s">
        <v>302</v>
      </c>
      <c r="N27" s="94" t="s">
        <v>33</v>
      </c>
      <c r="O27" s="94" t="s">
        <v>28</v>
      </c>
      <c r="P27" s="94" t="s">
        <v>28</v>
      </c>
      <c r="Q27" s="94" t="s">
        <v>28</v>
      </c>
      <c r="R27" s="94" t="s">
        <v>303</v>
      </c>
    </row>
    <row r="28" spans="3:18" ht="15" thickBot="1" x14ac:dyDescent="0.35">
      <c r="C28" s="6" t="s">
        <v>26</v>
      </c>
      <c r="D28" s="22">
        <v>4887835</v>
      </c>
      <c r="E28" s="22">
        <v>6176929</v>
      </c>
      <c r="F28" s="22">
        <v>3075578</v>
      </c>
      <c r="G28" s="22">
        <v>2400387</v>
      </c>
      <c r="H28" s="22">
        <v>1252782</v>
      </c>
      <c r="I28" s="22">
        <v>632137</v>
      </c>
      <c r="J28" s="92" t="s">
        <v>33</v>
      </c>
      <c r="L28">
        <f t="shared" si="0"/>
        <v>1</v>
      </c>
      <c r="M28" s="100" t="s">
        <v>26</v>
      </c>
      <c r="N28" s="92" t="s">
        <v>33</v>
      </c>
      <c r="O28" s="92" t="s">
        <v>304</v>
      </c>
      <c r="P28" s="92" t="s">
        <v>305</v>
      </c>
      <c r="Q28" s="92" t="s">
        <v>306</v>
      </c>
      <c r="R28" s="92" t="s">
        <v>307</v>
      </c>
    </row>
    <row r="29" spans="3:18" ht="15" thickBot="1" x14ac:dyDescent="0.35">
      <c r="C29" s="4" t="s">
        <v>27</v>
      </c>
      <c r="D29" s="21" t="s">
        <v>28</v>
      </c>
      <c r="E29" s="21" t="s">
        <v>28</v>
      </c>
      <c r="F29" s="21" t="s">
        <v>28</v>
      </c>
      <c r="G29" s="21" t="s">
        <v>28</v>
      </c>
      <c r="H29" s="21" t="s">
        <v>28</v>
      </c>
      <c r="I29" s="21">
        <v>620635</v>
      </c>
      <c r="J29" s="94" t="s">
        <v>33</v>
      </c>
      <c r="L29">
        <f t="shared" si="0"/>
        <v>1</v>
      </c>
      <c r="M29" s="99" t="s">
        <v>27</v>
      </c>
      <c r="N29" s="94" t="s">
        <v>33</v>
      </c>
      <c r="O29" s="94" t="s">
        <v>308</v>
      </c>
      <c r="P29" s="94" t="s">
        <v>308</v>
      </c>
      <c r="Q29" s="94" t="s">
        <v>309</v>
      </c>
      <c r="R29" s="94" t="s">
        <v>28</v>
      </c>
    </row>
    <row r="30" spans="3:18" ht="15" thickBot="1" x14ac:dyDescent="0.35">
      <c r="C30" s="6" t="s">
        <v>29</v>
      </c>
      <c r="D30" s="22">
        <v>4887835</v>
      </c>
      <c r="E30" s="22">
        <v>6176929</v>
      </c>
      <c r="F30" s="22">
        <v>3075578</v>
      </c>
      <c r="G30" s="22">
        <v>2400387</v>
      </c>
      <c r="H30" s="22">
        <v>1252782</v>
      </c>
      <c r="I30" s="22">
        <v>1252772</v>
      </c>
      <c r="J30" s="92" t="s">
        <v>33</v>
      </c>
      <c r="L30">
        <f t="shared" si="0"/>
        <v>1</v>
      </c>
      <c r="M30" s="100" t="s">
        <v>29</v>
      </c>
      <c r="N30" s="92" t="s">
        <v>33</v>
      </c>
      <c r="O30" s="92" t="s">
        <v>310</v>
      </c>
      <c r="P30" s="92" t="s">
        <v>311</v>
      </c>
      <c r="Q30" s="92" t="s">
        <v>312</v>
      </c>
      <c r="R30" s="92" t="s">
        <v>307</v>
      </c>
    </row>
    <row r="31" spans="3:18" ht="15" thickBot="1" x14ac:dyDescent="0.35">
      <c r="C31" s="13" t="s">
        <v>30</v>
      </c>
      <c r="D31" s="24"/>
      <c r="E31" s="23"/>
      <c r="F31" s="23"/>
      <c r="G31" s="23"/>
      <c r="H31" s="23"/>
      <c r="I31" s="23"/>
      <c r="J31" s="19"/>
      <c r="L31">
        <f t="shared" si="0"/>
        <v>1</v>
      </c>
      <c r="M31" s="18" t="s">
        <v>30</v>
      </c>
      <c r="N31" s="19"/>
      <c r="O31" s="19"/>
      <c r="P31" s="19"/>
      <c r="Q31" s="19"/>
      <c r="R31" s="20"/>
    </row>
    <row r="32" spans="3:18" ht="15" thickBot="1" x14ac:dyDescent="0.35">
      <c r="C32" s="6" t="s">
        <v>31</v>
      </c>
      <c r="D32" s="22">
        <v>5096885</v>
      </c>
      <c r="E32" s="22">
        <v>244182</v>
      </c>
      <c r="F32" s="22">
        <v>5784231</v>
      </c>
      <c r="G32" s="22">
        <v>6098440</v>
      </c>
      <c r="H32" s="22">
        <v>6645902</v>
      </c>
      <c r="I32" s="22">
        <v>6645902</v>
      </c>
      <c r="J32" s="92" t="s">
        <v>33</v>
      </c>
      <c r="L32">
        <f t="shared" si="0"/>
        <v>1</v>
      </c>
      <c r="M32" s="100" t="s">
        <v>31</v>
      </c>
      <c r="N32" s="92" t="s">
        <v>33</v>
      </c>
      <c r="O32" s="92" t="s">
        <v>313</v>
      </c>
      <c r="P32" s="92" t="s">
        <v>313</v>
      </c>
      <c r="Q32" s="92" t="s">
        <v>314</v>
      </c>
      <c r="R32" s="92" t="s">
        <v>315</v>
      </c>
    </row>
    <row r="33" spans="3:18" ht="15" thickBot="1" x14ac:dyDescent="0.35">
      <c r="C33" s="4" t="s">
        <v>24</v>
      </c>
      <c r="D33" s="21">
        <v>1761233</v>
      </c>
      <c r="E33" s="21" t="s">
        <v>28</v>
      </c>
      <c r="F33" s="21">
        <v>3086384</v>
      </c>
      <c r="G33" s="21">
        <v>2867611</v>
      </c>
      <c r="H33" s="21">
        <v>2484791</v>
      </c>
      <c r="I33" s="21">
        <v>2484791</v>
      </c>
      <c r="J33" s="94" t="s">
        <v>33</v>
      </c>
      <c r="L33">
        <f t="shared" si="0"/>
        <v>1</v>
      </c>
      <c r="M33" s="99" t="s">
        <v>24</v>
      </c>
      <c r="N33" s="94" t="s">
        <v>33</v>
      </c>
      <c r="O33" s="94" t="s">
        <v>316</v>
      </c>
      <c r="P33" s="94" t="s">
        <v>316</v>
      </c>
      <c r="Q33" s="94" t="s">
        <v>317</v>
      </c>
      <c r="R33" s="94" t="s">
        <v>318</v>
      </c>
    </row>
    <row r="34" spans="3:18" ht="15" thickBot="1" x14ac:dyDescent="0.35">
      <c r="C34" s="4" t="s">
        <v>32</v>
      </c>
      <c r="D34" s="21" t="s">
        <v>33</v>
      </c>
      <c r="E34" s="21" t="s">
        <v>33</v>
      </c>
      <c r="F34" s="21" t="s">
        <v>33</v>
      </c>
      <c r="G34" s="21" t="s">
        <v>33</v>
      </c>
      <c r="H34" s="21" t="s">
        <v>33</v>
      </c>
      <c r="I34" s="21">
        <v>2034550</v>
      </c>
      <c r="J34" s="94" t="s">
        <v>33</v>
      </c>
      <c r="L34">
        <f t="shared" si="0"/>
        <v>0</v>
      </c>
      <c r="M34" s="99" t="s">
        <v>34</v>
      </c>
      <c r="N34" s="94" t="s">
        <v>33</v>
      </c>
      <c r="O34" s="94" t="s">
        <v>319</v>
      </c>
      <c r="P34" s="94" t="s">
        <v>319</v>
      </c>
      <c r="Q34" s="94" t="s">
        <v>320</v>
      </c>
      <c r="R34" s="94" t="s">
        <v>321</v>
      </c>
    </row>
    <row r="35" spans="3:18" ht="15" thickBot="1" x14ac:dyDescent="0.35">
      <c r="C35" s="4" t="s">
        <v>34</v>
      </c>
      <c r="D35" s="21" t="s">
        <v>28</v>
      </c>
      <c r="E35" s="21" t="s">
        <v>28</v>
      </c>
      <c r="F35" s="21">
        <v>1858409</v>
      </c>
      <c r="G35" s="21">
        <v>1992501</v>
      </c>
      <c r="H35" s="21">
        <v>2034550</v>
      </c>
      <c r="I35" s="21">
        <v>2034550</v>
      </c>
      <c r="J35" s="94" t="s">
        <v>33</v>
      </c>
      <c r="L35">
        <f t="shared" ref="L35:L54" si="1">IF(C35=M35,1,0)</f>
        <v>1</v>
      </c>
      <c r="M35" s="99" t="s">
        <v>34</v>
      </c>
      <c r="N35" s="94" t="s">
        <v>33</v>
      </c>
      <c r="O35" s="94" t="s">
        <v>319</v>
      </c>
      <c r="P35" s="94" t="s">
        <v>319</v>
      </c>
      <c r="Q35" s="94" t="s">
        <v>320</v>
      </c>
      <c r="R35" s="94" t="s">
        <v>321</v>
      </c>
    </row>
    <row r="36" spans="3:18" ht="15" thickBot="1" x14ac:dyDescent="0.35">
      <c r="C36" s="4" t="s">
        <v>35</v>
      </c>
      <c r="D36" s="21">
        <v>3292160</v>
      </c>
      <c r="E36" s="21" t="s">
        <v>28</v>
      </c>
      <c r="F36" s="21">
        <v>726089</v>
      </c>
      <c r="G36" s="21">
        <v>1236497</v>
      </c>
      <c r="H36" s="21">
        <v>2126560</v>
      </c>
      <c r="I36" s="21">
        <v>2126560</v>
      </c>
      <c r="J36" s="94" t="s">
        <v>33</v>
      </c>
      <c r="L36">
        <f t="shared" si="1"/>
        <v>1</v>
      </c>
      <c r="M36" s="99" t="s">
        <v>35</v>
      </c>
      <c r="N36" s="94" t="s">
        <v>33</v>
      </c>
      <c r="O36" s="94" t="s">
        <v>322</v>
      </c>
      <c r="P36" s="94" t="s">
        <v>322</v>
      </c>
      <c r="Q36" s="94" t="s">
        <v>323</v>
      </c>
      <c r="R36" s="94" t="s">
        <v>324</v>
      </c>
    </row>
    <row r="37" spans="3:18" ht="15" thickBot="1" x14ac:dyDescent="0.35">
      <c r="C37" s="6" t="s">
        <v>36</v>
      </c>
      <c r="D37" s="22">
        <v>5053393</v>
      </c>
      <c r="E37" s="22" t="s">
        <v>28</v>
      </c>
      <c r="F37" s="22">
        <v>5670881</v>
      </c>
      <c r="G37" s="22">
        <v>6096608</v>
      </c>
      <c r="H37" s="22">
        <v>6645902</v>
      </c>
      <c r="I37" s="22">
        <v>6645902</v>
      </c>
      <c r="J37" s="92" t="s">
        <v>33</v>
      </c>
      <c r="L37">
        <f t="shared" si="1"/>
        <v>1</v>
      </c>
      <c r="M37" s="100" t="s">
        <v>36</v>
      </c>
      <c r="N37" s="92" t="s">
        <v>33</v>
      </c>
      <c r="O37" s="92" t="s">
        <v>313</v>
      </c>
      <c r="P37" s="92" t="s">
        <v>313</v>
      </c>
      <c r="Q37" s="92" t="s">
        <v>325</v>
      </c>
      <c r="R37" s="92" t="s">
        <v>326</v>
      </c>
    </row>
    <row r="38" spans="3:18" ht="15" thickBot="1" x14ac:dyDescent="0.35">
      <c r="C38" s="13" t="s">
        <v>37</v>
      </c>
      <c r="D38" s="24"/>
      <c r="E38" s="23"/>
      <c r="F38" s="23"/>
      <c r="G38" s="23"/>
      <c r="H38" s="23"/>
      <c r="I38" s="23"/>
      <c r="J38" s="19"/>
      <c r="L38">
        <f t="shared" si="1"/>
        <v>1</v>
      </c>
      <c r="M38" s="18" t="s">
        <v>37</v>
      </c>
      <c r="N38" s="19"/>
      <c r="O38" s="19"/>
      <c r="P38" s="19"/>
      <c r="Q38" s="19"/>
      <c r="R38" s="20"/>
    </row>
    <row r="39" spans="3:18" ht="15" thickBot="1" x14ac:dyDescent="0.35">
      <c r="C39" s="4" t="s">
        <v>38</v>
      </c>
      <c r="D39" s="21">
        <v>45364799</v>
      </c>
      <c r="E39" s="21">
        <v>42739910</v>
      </c>
      <c r="F39" s="21">
        <v>44152444</v>
      </c>
      <c r="G39" s="21">
        <v>28482738</v>
      </c>
      <c r="H39" s="21">
        <v>38678893</v>
      </c>
      <c r="I39" s="21">
        <v>38678893</v>
      </c>
      <c r="J39" s="94" t="s">
        <v>33</v>
      </c>
      <c r="L39">
        <f t="shared" si="1"/>
        <v>1</v>
      </c>
      <c r="M39" s="99" t="s">
        <v>38</v>
      </c>
      <c r="N39" s="94" t="s">
        <v>33</v>
      </c>
      <c r="O39" s="94" t="s">
        <v>327</v>
      </c>
      <c r="P39" s="94" t="s">
        <v>327</v>
      </c>
      <c r="Q39" s="94" t="s">
        <v>328</v>
      </c>
      <c r="R39" s="94" t="s">
        <v>329</v>
      </c>
    </row>
    <row r="40" spans="3:18" ht="15" thickBot="1" x14ac:dyDescent="0.35">
      <c r="C40" s="4" t="s">
        <v>39</v>
      </c>
      <c r="D40" s="21">
        <v>58642240</v>
      </c>
      <c r="E40" s="21">
        <v>92748911</v>
      </c>
      <c r="F40" s="21">
        <v>92293792</v>
      </c>
      <c r="G40" s="21">
        <v>96080812</v>
      </c>
      <c r="H40" s="21">
        <v>89317238</v>
      </c>
      <c r="I40" s="21">
        <v>89317238</v>
      </c>
      <c r="J40" s="94" t="s">
        <v>33</v>
      </c>
      <c r="L40">
        <f t="shared" si="1"/>
        <v>1</v>
      </c>
      <c r="M40" s="99" t="s">
        <v>39</v>
      </c>
      <c r="N40" s="94" t="s">
        <v>33</v>
      </c>
      <c r="O40" s="94" t="s">
        <v>330</v>
      </c>
      <c r="P40" s="94" t="s">
        <v>330</v>
      </c>
      <c r="Q40" s="94" t="s">
        <v>331</v>
      </c>
      <c r="R40" s="94" t="s">
        <v>332</v>
      </c>
    </row>
    <row r="41" spans="3:18" ht="15" thickBot="1" x14ac:dyDescent="0.35">
      <c r="C41" s="4" t="s">
        <v>40</v>
      </c>
      <c r="D41" s="21">
        <v>26118312</v>
      </c>
      <c r="E41" s="21">
        <v>43469074</v>
      </c>
      <c r="F41" s="21">
        <v>42609267</v>
      </c>
      <c r="G41" s="21">
        <v>25578246</v>
      </c>
      <c r="H41" s="21">
        <v>42970627</v>
      </c>
      <c r="I41" s="21">
        <v>42970637</v>
      </c>
      <c r="J41" s="94" t="s">
        <v>33</v>
      </c>
      <c r="L41">
        <f t="shared" si="1"/>
        <v>1</v>
      </c>
      <c r="M41" s="99" t="s">
        <v>40</v>
      </c>
      <c r="N41" s="94" t="s">
        <v>33</v>
      </c>
      <c r="O41" s="94" t="s">
        <v>333</v>
      </c>
      <c r="P41" s="94" t="s">
        <v>334</v>
      </c>
      <c r="Q41" s="94" t="s">
        <v>335</v>
      </c>
      <c r="R41" s="94" t="s">
        <v>336</v>
      </c>
    </row>
    <row r="42" spans="3:18" ht="15" thickBot="1" x14ac:dyDescent="0.35">
      <c r="C42" s="4" t="s">
        <v>41</v>
      </c>
      <c r="D42" s="21">
        <v>32320087</v>
      </c>
      <c r="E42" s="21">
        <v>39187324</v>
      </c>
      <c r="F42" s="21">
        <v>38286506</v>
      </c>
      <c r="G42" s="21">
        <v>40439631</v>
      </c>
      <c r="H42" s="21">
        <v>25771454</v>
      </c>
      <c r="I42" s="21">
        <v>25771454</v>
      </c>
      <c r="J42" s="94" t="s">
        <v>33</v>
      </c>
      <c r="L42">
        <f t="shared" si="1"/>
        <v>1</v>
      </c>
      <c r="M42" s="99" t="s">
        <v>41</v>
      </c>
      <c r="N42" s="94" t="s">
        <v>33</v>
      </c>
      <c r="O42" s="94" t="s">
        <v>337</v>
      </c>
      <c r="P42" s="94" t="s">
        <v>337</v>
      </c>
      <c r="Q42" s="94" t="s">
        <v>338</v>
      </c>
      <c r="R42" s="94" t="s">
        <v>339</v>
      </c>
    </row>
    <row r="43" spans="3:18" ht="15" thickBot="1" x14ac:dyDescent="0.35">
      <c r="C43" s="6" t="s">
        <v>42</v>
      </c>
      <c r="D43" s="22">
        <v>40933794</v>
      </c>
      <c r="E43" s="22">
        <v>46666856</v>
      </c>
      <c r="F43" s="22">
        <v>52409148</v>
      </c>
      <c r="G43" s="22">
        <v>56054445</v>
      </c>
      <c r="H43" s="22">
        <v>58181585</v>
      </c>
      <c r="I43" s="22">
        <v>58181585</v>
      </c>
      <c r="J43" s="92" t="s">
        <v>33</v>
      </c>
      <c r="L43">
        <f t="shared" si="1"/>
        <v>1</v>
      </c>
      <c r="M43" s="100" t="s">
        <v>42</v>
      </c>
      <c r="N43" s="92" t="s">
        <v>33</v>
      </c>
      <c r="O43" s="92" t="s">
        <v>340</v>
      </c>
      <c r="P43" s="92" t="s">
        <v>340</v>
      </c>
      <c r="Q43" s="92" t="s">
        <v>341</v>
      </c>
      <c r="R43" s="92" t="s">
        <v>342</v>
      </c>
    </row>
    <row r="44" spans="3:18" ht="15" thickBot="1" x14ac:dyDescent="0.35">
      <c r="C44" s="13" t="s">
        <v>43</v>
      </c>
      <c r="D44" s="24"/>
      <c r="E44" s="23"/>
      <c r="F44" s="23"/>
      <c r="G44" s="23"/>
      <c r="H44" s="23"/>
      <c r="I44" s="23"/>
      <c r="J44" s="19"/>
      <c r="L44">
        <f t="shared" si="1"/>
        <v>1</v>
      </c>
      <c r="M44" s="18" t="s">
        <v>43</v>
      </c>
      <c r="N44" s="19"/>
      <c r="O44" s="19"/>
      <c r="P44" s="19"/>
      <c r="Q44" s="19"/>
      <c r="R44" s="20"/>
    </row>
    <row r="45" spans="3:18" ht="15" thickBot="1" x14ac:dyDescent="0.35">
      <c r="C45" s="4" t="s">
        <v>44</v>
      </c>
      <c r="D45" s="21">
        <v>-1522</v>
      </c>
      <c r="E45" s="21">
        <v>1555042</v>
      </c>
      <c r="F45" s="21">
        <v>53970905</v>
      </c>
      <c r="G45" s="21">
        <v>68794095</v>
      </c>
      <c r="H45" s="21">
        <v>4072951</v>
      </c>
      <c r="I45" s="21">
        <v>4072951</v>
      </c>
      <c r="J45" s="94" t="s">
        <v>33</v>
      </c>
      <c r="L45">
        <f t="shared" si="1"/>
        <v>1</v>
      </c>
      <c r="M45" s="99" t="s">
        <v>44</v>
      </c>
      <c r="N45" s="94" t="s">
        <v>33</v>
      </c>
      <c r="O45" s="94" t="s">
        <v>343</v>
      </c>
      <c r="P45" s="94" t="s">
        <v>343</v>
      </c>
      <c r="Q45" s="94" t="s">
        <v>344</v>
      </c>
      <c r="R45" s="94" t="s">
        <v>345</v>
      </c>
    </row>
    <row r="46" spans="3:18" ht="15" thickBot="1" x14ac:dyDescent="0.35">
      <c r="C46" s="4" t="s">
        <v>45</v>
      </c>
      <c r="D46" s="21">
        <v>-99022</v>
      </c>
      <c r="E46" s="21">
        <v>41818</v>
      </c>
      <c r="F46" s="21">
        <v>433</v>
      </c>
      <c r="G46" s="21">
        <v>1951</v>
      </c>
      <c r="H46" s="21" t="s">
        <v>28</v>
      </c>
      <c r="I46" s="21" t="s">
        <v>28</v>
      </c>
      <c r="J46" s="94" t="s">
        <v>33</v>
      </c>
      <c r="L46">
        <f t="shared" si="1"/>
        <v>1</v>
      </c>
      <c r="M46" s="99" t="s">
        <v>45</v>
      </c>
      <c r="N46" s="94" t="s">
        <v>33</v>
      </c>
      <c r="O46" s="94" t="s">
        <v>28</v>
      </c>
      <c r="P46" s="94" t="s">
        <v>28</v>
      </c>
      <c r="Q46" s="94" t="s">
        <v>346</v>
      </c>
      <c r="R46" s="94">
        <v>433</v>
      </c>
    </row>
    <row r="47" spans="3:18" ht="15" thickBot="1" x14ac:dyDescent="0.35">
      <c r="C47" s="4" t="s">
        <v>46</v>
      </c>
      <c r="D47" s="21">
        <v>626644</v>
      </c>
      <c r="E47" s="21">
        <v>418372</v>
      </c>
      <c r="F47" s="21">
        <v>938467</v>
      </c>
      <c r="G47" s="21">
        <v>579781</v>
      </c>
      <c r="H47" s="21" t="s">
        <v>28</v>
      </c>
      <c r="I47" s="21" t="s">
        <v>28</v>
      </c>
      <c r="J47" s="94" t="s">
        <v>33</v>
      </c>
      <c r="L47">
        <f t="shared" si="1"/>
        <v>1</v>
      </c>
      <c r="M47" s="99" t="s">
        <v>46</v>
      </c>
      <c r="N47" s="94" t="s">
        <v>33</v>
      </c>
      <c r="O47" s="94" t="s">
        <v>28</v>
      </c>
      <c r="P47" s="94" t="s">
        <v>28</v>
      </c>
      <c r="Q47" s="94" t="s">
        <v>347</v>
      </c>
      <c r="R47" s="94" t="s">
        <v>348</v>
      </c>
    </row>
    <row r="48" spans="3:18" ht="29.1" customHeight="1" thickBot="1" x14ac:dyDescent="0.35">
      <c r="C48" s="6" t="s">
        <v>47</v>
      </c>
      <c r="D48" s="22">
        <v>850829</v>
      </c>
      <c r="E48" s="22">
        <v>2186150</v>
      </c>
      <c r="F48" s="22">
        <v>55899056</v>
      </c>
      <c r="G48" s="22">
        <v>75453398</v>
      </c>
      <c r="H48" s="22">
        <v>4722549</v>
      </c>
      <c r="I48" s="22">
        <v>4722549</v>
      </c>
      <c r="J48" s="92" t="s">
        <v>33</v>
      </c>
      <c r="L48">
        <f t="shared" si="1"/>
        <v>1</v>
      </c>
      <c r="M48" s="100" t="s">
        <v>47</v>
      </c>
      <c r="N48" s="92" t="s">
        <v>33</v>
      </c>
      <c r="O48" s="92" t="s">
        <v>349</v>
      </c>
      <c r="P48" s="92" t="s">
        <v>349</v>
      </c>
      <c r="Q48" s="92" t="s">
        <v>350</v>
      </c>
      <c r="R48" s="92" t="s">
        <v>351</v>
      </c>
    </row>
    <row r="49" spans="3:18" ht="15" thickBot="1" x14ac:dyDescent="0.35">
      <c r="C49" s="18" t="s">
        <v>48</v>
      </c>
      <c r="D49" s="24"/>
      <c r="E49" s="23"/>
      <c r="F49" s="23"/>
      <c r="G49" s="23"/>
      <c r="H49" s="23"/>
      <c r="I49" s="23"/>
      <c r="J49" s="19"/>
      <c r="L49">
        <f t="shared" si="1"/>
        <v>1</v>
      </c>
      <c r="M49" s="18" t="s">
        <v>48</v>
      </c>
      <c r="N49" s="19"/>
      <c r="O49" s="19"/>
      <c r="P49" s="19"/>
      <c r="Q49" s="19"/>
      <c r="R49" s="20"/>
    </row>
    <row r="50" spans="3:18" ht="15" thickBot="1" x14ac:dyDescent="0.35">
      <c r="C50" s="4" t="s">
        <v>49</v>
      </c>
      <c r="D50" s="21">
        <v>304505</v>
      </c>
      <c r="E50" s="21">
        <v>480628</v>
      </c>
      <c r="F50" s="21">
        <v>59468</v>
      </c>
      <c r="G50" s="21">
        <v>1003250</v>
      </c>
      <c r="H50" s="21">
        <v>4246083</v>
      </c>
      <c r="I50" s="21">
        <v>1289984</v>
      </c>
      <c r="J50" s="94" t="s">
        <v>33</v>
      </c>
      <c r="L50">
        <f t="shared" si="1"/>
        <v>1</v>
      </c>
      <c r="M50" s="99" t="s">
        <v>49</v>
      </c>
      <c r="N50" s="94" t="s">
        <v>33</v>
      </c>
      <c r="O50" s="94" t="s">
        <v>352</v>
      </c>
      <c r="P50" s="94" t="s">
        <v>353</v>
      </c>
      <c r="Q50" s="94" t="s">
        <v>354</v>
      </c>
      <c r="R50" s="94" t="s">
        <v>355</v>
      </c>
    </row>
    <row r="51" spans="3:18" ht="15" thickBot="1" x14ac:dyDescent="0.35">
      <c r="C51" s="4" t="s">
        <v>50</v>
      </c>
      <c r="D51" s="21">
        <v>868306</v>
      </c>
      <c r="E51" s="21">
        <v>816239</v>
      </c>
      <c r="F51" s="21">
        <v>1045558</v>
      </c>
      <c r="G51" s="21">
        <v>1118009</v>
      </c>
      <c r="H51" s="21">
        <v>1384993</v>
      </c>
      <c r="I51" s="21">
        <v>811433</v>
      </c>
      <c r="J51" s="94" t="s">
        <v>33</v>
      </c>
      <c r="L51">
        <f t="shared" si="1"/>
        <v>1</v>
      </c>
      <c r="M51" s="99" t="s">
        <v>50</v>
      </c>
      <c r="N51" s="94" t="s">
        <v>33</v>
      </c>
      <c r="O51" s="94" t="s">
        <v>356</v>
      </c>
      <c r="P51" s="94" t="s">
        <v>357</v>
      </c>
      <c r="Q51" s="94" t="s">
        <v>358</v>
      </c>
      <c r="R51" s="94" t="s">
        <v>359</v>
      </c>
    </row>
    <row r="52" spans="3:18" ht="15" thickBot="1" x14ac:dyDescent="0.35">
      <c r="C52" s="4" t="s">
        <v>51</v>
      </c>
      <c r="D52" s="21">
        <v>9064</v>
      </c>
      <c r="E52" s="21">
        <v>116977</v>
      </c>
      <c r="F52" s="21">
        <v>25172</v>
      </c>
      <c r="G52" s="21">
        <v>11380</v>
      </c>
      <c r="H52" s="21">
        <v>490033</v>
      </c>
      <c r="I52" s="21">
        <v>8489</v>
      </c>
      <c r="J52" s="94" t="s">
        <v>33</v>
      </c>
      <c r="L52">
        <f t="shared" si="1"/>
        <v>1</v>
      </c>
      <c r="M52" s="99" t="s">
        <v>51</v>
      </c>
      <c r="N52" s="94" t="s">
        <v>33</v>
      </c>
      <c r="O52" s="94" t="s">
        <v>360</v>
      </c>
      <c r="P52" s="94" t="s">
        <v>361</v>
      </c>
      <c r="Q52" s="94" t="s">
        <v>362</v>
      </c>
      <c r="R52" s="94" t="s">
        <v>363</v>
      </c>
    </row>
    <row r="53" spans="3:18" ht="28.8" x14ac:dyDescent="0.3">
      <c r="C53" s="227" t="s">
        <v>52</v>
      </c>
      <c r="D53" s="8" t="s">
        <v>53</v>
      </c>
      <c r="E53" s="8" t="s">
        <v>53</v>
      </c>
      <c r="F53" s="8" t="s">
        <v>53</v>
      </c>
      <c r="G53" s="8" t="s">
        <v>53</v>
      </c>
      <c r="H53" s="8" t="s">
        <v>53</v>
      </c>
      <c r="I53" s="130" t="s">
        <v>53</v>
      </c>
      <c r="J53" s="102"/>
      <c r="L53">
        <f t="shared" si="1"/>
        <v>1</v>
      </c>
      <c r="M53" s="101" t="s">
        <v>52</v>
      </c>
      <c r="N53" s="102"/>
      <c r="O53" s="102" t="s">
        <v>53</v>
      </c>
      <c r="P53" s="102" t="s">
        <v>53</v>
      </c>
      <c r="Q53" s="102" t="s">
        <v>53</v>
      </c>
      <c r="R53" s="102" t="s">
        <v>53</v>
      </c>
    </row>
    <row r="54" spans="3:18" ht="15" thickBot="1" x14ac:dyDescent="0.35">
      <c r="C54" s="228"/>
      <c r="D54" s="9" t="s">
        <v>56</v>
      </c>
      <c r="E54" s="9" t="s">
        <v>56</v>
      </c>
      <c r="F54" s="9" t="s">
        <v>55</v>
      </c>
      <c r="G54" s="9" t="s">
        <v>55</v>
      </c>
      <c r="H54" s="9" t="s">
        <v>54</v>
      </c>
      <c r="I54" s="104" t="s">
        <v>364</v>
      </c>
      <c r="J54" s="104"/>
      <c r="L54">
        <f t="shared" si="1"/>
        <v>1</v>
      </c>
      <c r="M54" s="103"/>
      <c r="N54" s="104"/>
      <c r="O54" s="104" t="s">
        <v>364</v>
      </c>
      <c r="P54" s="104" t="s">
        <v>364</v>
      </c>
      <c r="Q54" s="104" t="s">
        <v>365</v>
      </c>
      <c r="R54" s="104" t="s">
        <v>55</v>
      </c>
    </row>
    <row r="58" spans="3:18" x14ac:dyDescent="0.3">
      <c r="C58" s="11" t="s">
        <v>58</v>
      </c>
    </row>
    <row r="61" spans="3:18" x14ac:dyDescent="0.3">
      <c r="C61" s="12" t="s">
        <v>59</v>
      </c>
    </row>
    <row r="62" spans="3:18" ht="15" thickBot="1" x14ac:dyDescent="0.35">
      <c r="C62" s="12" t="s">
        <v>60</v>
      </c>
    </row>
    <row r="63" spans="3:18" ht="15" thickBot="1" x14ac:dyDescent="0.35">
      <c r="D63" s="7" t="s">
        <v>5</v>
      </c>
      <c r="E63" s="7" t="s">
        <v>4</v>
      </c>
      <c r="F63" s="7" t="s">
        <v>3</v>
      </c>
      <c r="G63" s="7" t="s">
        <v>2</v>
      </c>
      <c r="H63" s="7" t="s">
        <v>1</v>
      </c>
      <c r="I63" s="92" t="s">
        <v>232</v>
      </c>
    </row>
    <row r="64" spans="3:18" ht="15" thickBot="1" x14ac:dyDescent="0.35">
      <c r="C64" s="13" t="s">
        <v>8</v>
      </c>
      <c r="D64" s="15"/>
      <c r="E64" s="14"/>
      <c r="F64" s="14"/>
      <c r="G64" s="14"/>
      <c r="H64" s="14"/>
    </row>
    <row r="65" spans="3:9" ht="15" thickBot="1" x14ac:dyDescent="0.35">
      <c r="C65" s="4" t="s">
        <v>9</v>
      </c>
      <c r="D65" s="17">
        <f t="shared" ref="D65:E82" si="2">IFERROR(D11/D$16,0)</f>
        <v>0.19789603205808917</v>
      </c>
      <c r="E65" s="17">
        <f t="shared" si="2"/>
        <v>0.20176356843029108</v>
      </c>
      <c r="F65" s="17">
        <f t="shared" ref="F65:F74" si="3">IFERROR(F11/F$16,0)</f>
        <v>0.19814519467036279</v>
      </c>
      <c r="G65" s="17">
        <f t="shared" ref="G65:H82" si="4">IFERROR(G11/G$16,0)</f>
        <v>0.19091960246172346</v>
      </c>
      <c r="H65" s="17">
        <f t="shared" si="4"/>
        <v>0.22037618781275189</v>
      </c>
      <c r="I65" s="17">
        <f t="shared" ref="I65:I82" si="5">IFERROR(I11/I$16,0)</f>
        <v>0.22263137439399044</v>
      </c>
    </row>
    <row r="66" spans="3:9" ht="15" thickBot="1" x14ac:dyDescent="0.35">
      <c r="C66" s="4" t="s">
        <v>10</v>
      </c>
      <c r="D66" s="17">
        <f t="shared" si="2"/>
        <v>0.50611025347855709</v>
      </c>
      <c r="E66" s="17">
        <f t="shared" si="2"/>
        <v>0.4652939926789974</v>
      </c>
      <c r="F66" s="17">
        <f t="shared" si="3"/>
        <v>0.48188726357051953</v>
      </c>
      <c r="G66" s="17">
        <f t="shared" si="4"/>
        <v>0.47052458570087929</v>
      </c>
      <c r="H66" s="17">
        <f t="shared" si="4"/>
        <v>0.5426479877339222</v>
      </c>
      <c r="I66" s="17">
        <f t="shared" si="5"/>
        <v>0.5482010943214336</v>
      </c>
    </row>
    <row r="67" spans="3:9" ht="15" thickBot="1" x14ac:dyDescent="0.35">
      <c r="C67" s="4" t="s">
        <v>11</v>
      </c>
      <c r="D67" s="17">
        <f t="shared" si="2"/>
        <v>1.0701405959991823E-2</v>
      </c>
      <c r="E67" s="17">
        <f t="shared" si="2"/>
        <v>8.7392370777458154E-3</v>
      </c>
      <c r="F67" s="17">
        <f t="shared" si="3"/>
        <v>5.735644622071938E-3</v>
      </c>
      <c r="G67" s="17">
        <f t="shared" si="4"/>
        <v>4.13738897809981E-3</v>
      </c>
      <c r="H67" s="17">
        <f t="shared" si="4"/>
        <v>3.2465294617843978E-3</v>
      </c>
      <c r="I67" s="17">
        <f t="shared" si="5"/>
        <v>3.2797523328689667E-3</v>
      </c>
    </row>
    <row r="68" spans="3:9" ht="15" thickBot="1" x14ac:dyDescent="0.35">
      <c r="C68" s="4" t="s">
        <v>12</v>
      </c>
      <c r="D68" s="17">
        <f t="shared" si="2"/>
        <v>0.16362192432955897</v>
      </c>
      <c r="E68" s="17">
        <f t="shared" si="2"/>
        <v>0.20651027116353138</v>
      </c>
      <c r="F68" s="17">
        <f t="shared" si="3"/>
        <v>0.21018090574384332</v>
      </c>
      <c r="G68" s="17">
        <f t="shared" si="4"/>
        <v>0.21932967051540536</v>
      </c>
      <c r="H68" s="17">
        <f t="shared" si="4"/>
        <v>0.17495898524944445</v>
      </c>
      <c r="I68" s="17">
        <f t="shared" si="5"/>
        <v>0.17674940171738385</v>
      </c>
    </row>
    <row r="69" spans="3:9" ht="15" thickBot="1" x14ac:dyDescent="0.35">
      <c r="C69" s="4" t="s">
        <v>13</v>
      </c>
      <c r="D69" s="17">
        <f t="shared" si="2"/>
        <v>0.12167040396304012</v>
      </c>
      <c r="E69" s="17">
        <f t="shared" si="2"/>
        <v>0.11769291434132773</v>
      </c>
      <c r="F69" s="17">
        <f t="shared" si="3"/>
        <v>0.10405100717813488</v>
      </c>
      <c r="G69" s="17">
        <f t="shared" si="4"/>
        <v>0.11508873769754155</v>
      </c>
      <c r="H69" s="17">
        <f t="shared" si="4"/>
        <v>5.8770293420579031E-2</v>
      </c>
      <c r="I69" s="17">
        <f t="shared" si="5"/>
        <v>4.9138360745781359E-2</v>
      </c>
    </row>
    <row r="70" spans="3:9" ht="29.4" thickBot="1" x14ac:dyDescent="0.35">
      <c r="C70" s="6" t="s">
        <v>14</v>
      </c>
      <c r="D70" s="25">
        <f t="shared" si="2"/>
        <v>1</v>
      </c>
      <c r="E70" s="25">
        <f t="shared" si="2"/>
        <v>1</v>
      </c>
      <c r="F70" s="25">
        <f t="shared" si="3"/>
        <v>1</v>
      </c>
      <c r="G70" s="25">
        <f t="shared" si="4"/>
        <v>1</v>
      </c>
      <c r="H70" s="25">
        <f t="shared" si="4"/>
        <v>1</v>
      </c>
      <c r="I70" s="25">
        <f t="shared" si="5"/>
        <v>1</v>
      </c>
    </row>
    <row r="71" spans="3:9" ht="15" thickBot="1" x14ac:dyDescent="0.35">
      <c r="C71" s="4" t="s">
        <v>15</v>
      </c>
      <c r="D71" s="17">
        <f t="shared" si="2"/>
        <v>0.23017574089271109</v>
      </c>
      <c r="E71" s="17">
        <f t="shared" si="2"/>
        <v>0.22106095094493816</v>
      </c>
      <c r="F71" s="17">
        <f t="shared" si="3"/>
        <v>0.23444259946646298</v>
      </c>
      <c r="G71" s="17">
        <f t="shared" si="4"/>
        <v>0.23207019398241799</v>
      </c>
      <c r="H71" s="17">
        <f t="shared" si="4"/>
        <v>0.25716968785309052</v>
      </c>
      <c r="I71" s="17">
        <f t="shared" si="5"/>
        <v>0.25980139518455764</v>
      </c>
    </row>
    <row r="72" spans="3:9" ht="15" thickBot="1" x14ac:dyDescent="0.35">
      <c r="C72" s="4" t="s">
        <v>16</v>
      </c>
      <c r="D72" s="17">
        <f t="shared" si="2"/>
        <v>3.3681875229691202E-3</v>
      </c>
      <c r="E72" s="17">
        <f t="shared" si="2"/>
        <v>2.6433483791381026E-3</v>
      </c>
      <c r="F72" s="17">
        <f t="shared" si="3"/>
        <v>2.6244975774390631E-3</v>
      </c>
      <c r="G72" s="17">
        <f t="shared" si="4"/>
        <v>2.4622712207091665E-3</v>
      </c>
      <c r="H72" s="17">
        <f t="shared" si="4"/>
        <v>2.6692373710336895E-3</v>
      </c>
      <c r="I72" s="17">
        <f t="shared" si="5"/>
        <v>2.696552610311766E-3</v>
      </c>
    </row>
    <row r="73" spans="3:9" ht="15" thickBot="1" x14ac:dyDescent="0.35">
      <c r="C73" s="4" t="s">
        <v>17</v>
      </c>
      <c r="D73" s="17">
        <f t="shared" si="2"/>
        <v>6.2302178128107961E-2</v>
      </c>
      <c r="E73" s="17">
        <f t="shared" si="2"/>
        <v>5.4568310801591219E-2</v>
      </c>
      <c r="F73" s="17">
        <f t="shared" si="3"/>
        <v>5.1995251766041917E-2</v>
      </c>
      <c r="G73" s="17">
        <f t="shared" si="4"/>
        <v>5.8551671607027164E-2</v>
      </c>
      <c r="H73" s="17">
        <f t="shared" si="4"/>
        <v>6.1483876355948867E-2</v>
      </c>
      <c r="I73" s="17">
        <f t="shared" si="5"/>
        <v>6.2113062359648502E-2</v>
      </c>
    </row>
    <row r="74" spans="3:9" ht="15" thickBot="1" x14ac:dyDescent="0.35">
      <c r="C74" s="4" t="s">
        <v>18</v>
      </c>
      <c r="D74" s="17">
        <f t="shared" si="2"/>
        <v>5.7737454172826809E-2</v>
      </c>
      <c r="E74" s="17">
        <f t="shared" si="2"/>
        <v>5.7517158941269242E-2</v>
      </c>
      <c r="F74" s="17">
        <f t="shared" si="3"/>
        <v>6.1337942870351686E-2</v>
      </c>
      <c r="G74" s="17">
        <f t="shared" si="4"/>
        <v>5.543339034571744E-2</v>
      </c>
      <c r="H74" s="17">
        <f t="shared" si="4"/>
        <v>4.4823164595115123E-2</v>
      </c>
      <c r="I74" s="17">
        <f t="shared" si="5"/>
        <v>4.5281855710188945E-2</v>
      </c>
    </row>
    <row r="75" spans="3:9" ht="15" thickBot="1" x14ac:dyDescent="0.35">
      <c r="C75" s="4" t="s">
        <v>19</v>
      </c>
      <c r="D75" s="17">
        <f t="shared" si="2"/>
        <v>0.33087182928680042</v>
      </c>
      <c r="E75" s="17">
        <f t="shared" si="2"/>
        <v>0.27415239961475685</v>
      </c>
      <c r="F75" s="17">
        <f t="shared" ref="F75:F82" si="6">IFERROR(F21/F$16,0)</f>
        <v>0.28516929513678546</v>
      </c>
      <c r="G75" s="17">
        <f t="shared" si="4"/>
        <v>0.27338374079919919</v>
      </c>
      <c r="H75" s="17">
        <f t="shared" si="4"/>
        <v>0.34192387053177842</v>
      </c>
      <c r="I75" s="17">
        <f t="shared" si="5"/>
        <v>0.34542304544454816</v>
      </c>
    </row>
    <row r="76" spans="3:9" ht="15" thickBot="1" x14ac:dyDescent="0.35">
      <c r="C76" s="4" t="s">
        <v>20</v>
      </c>
      <c r="D76" s="17">
        <f t="shared" si="2"/>
        <v>6.2328576970405924E-3</v>
      </c>
      <c r="E76" s="17">
        <f t="shared" si="2"/>
        <v>2.335907953915313E-3</v>
      </c>
      <c r="F76" s="17">
        <f t="shared" si="6"/>
        <v>7.61986043783551E-2</v>
      </c>
      <c r="G76" s="17">
        <f t="shared" si="4"/>
        <v>6.1663039790882924E-2</v>
      </c>
      <c r="H76" s="17">
        <f t="shared" si="4"/>
        <v>2.3563538714665116E-3</v>
      </c>
      <c r="I76" s="17">
        <f t="shared" si="5"/>
        <v>2.3804672644983211E-3</v>
      </c>
    </row>
    <row r="77" spans="3:9" ht="15" thickBot="1" x14ac:dyDescent="0.35">
      <c r="C77" s="4" t="s">
        <v>21</v>
      </c>
      <c r="D77" s="17">
        <f t="shared" si="2"/>
        <v>0.26369609636915192</v>
      </c>
      <c r="E77" s="17">
        <f t="shared" si="2"/>
        <v>0.3336831530915188</v>
      </c>
      <c r="F77" s="17">
        <f t="shared" si="6"/>
        <v>0.28494587520299819</v>
      </c>
      <c r="G77" s="17">
        <f t="shared" si="4"/>
        <v>0.31944176782388362</v>
      </c>
      <c r="H77" s="17">
        <f t="shared" si="4"/>
        <v>0.29869120522022208</v>
      </c>
      <c r="I77" s="17">
        <f t="shared" si="5"/>
        <v>0.30174783324484755</v>
      </c>
    </row>
    <row r="78" spans="3:9" ht="15" thickBot="1" x14ac:dyDescent="0.35">
      <c r="C78" s="6" t="s">
        <v>22</v>
      </c>
      <c r="D78" s="25">
        <f t="shared" si="2"/>
        <v>0.95438432428037079</v>
      </c>
      <c r="E78" s="25">
        <f t="shared" si="2"/>
        <v>0.94596122972712771</v>
      </c>
      <c r="F78" s="25">
        <f t="shared" si="6"/>
        <v>0.99671406639843441</v>
      </c>
      <c r="G78" s="25">
        <f t="shared" si="4"/>
        <v>1.0030060755698376</v>
      </c>
      <c r="H78" s="25">
        <f t="shared" si="4"/>
        <v>1.0091174284416911</v>
      </c>
      <c r="I78" s="25">
        <f t="shared" si="5"/>
        <v>1.0194442447956844</v>
      </c>
    </row>
    <row r="79" spans="3:9" ht="15" thickBot="1" x14ac:dyDescent="0.35">
      <c r="C79" s="6" t="s">
        <v>23</v>
      </c>
      <c r="D79" s="25">
        <f t="shared" si="2"/>
        <v>4.5615675719629177E-2</v>
      </c>
      <c r="E79" s="25">
        <f t="shared" si="2"/>
        <v>5.4038770272872294E-2</v>
      </c>
      <c r="F79" s="25">
        <f t="shared" si="6"/>
        <v>3.285933601565638E-3</v>
      </c>
      <c r="G79" s="25">
        <f t="shared" si="4"/>
        <v>-3.0060755698375049E-3</v>
      </c>
      <c r="H79" s="25">
        <f t="shared" si="4"/>
        <v>-9.1174121201731823E-3</v>
      </c>
      <c r="I79" s="25">
        <f t="shared" si="5"/>
        <v>-1.9444244795684462E-2</v>
      </c>
    </row>
    <row r="80" spans="3:9" ht="15" thickBot="1" x14ac:dyDescent="0.35">
      <c r="C80" s="4" t="s">
        <v>24</v>
      </c>
      <c r="D80" s="17">
        <f t="shared" si="2"/>
        <v>9.6774712537089237E-3</v>
      </c>
      <c r="E80" s="17">
        <f t="shared" si="2"/>
        <v>4.6654818392354358E-2</v>
      </c>
      <c r="F80" s="17">
        <f t="shared" si="6"/>
        <v>4.0023027690844017E-2</v>
      </c>
      <c r="G80" s="17">
        <f t="shared" si="4"/>
        <v>3.757655976969141E-2</v>
      </c>
      <c r="H80" s="17">
        <f t="shared" si="4"/>
        <v>2.4128083699877904E-2</v>
      </c>
      <c r="I80" s="17">
        <f t="shared" si="5"/>
        <v>2.9867262127268888E-2</v>
      </c>
    </row>
    <row r="81" spans="3:9" ht="15" thickBot="1" x14ac:dyDescent="0.35">
      <c r="C81" s="4" t="s">
        <v>25</v>
      </c>
      <c r="D81" s="17">
        <f t="shared" si="2"/>
        <v>4.1433378771400652E-2</v>
      </c>
      <c r="E81" s="17">
        <f t="shared" si="2"/>
        <v>4.0427796208746833E-5</v>
      </c>
      <c r="F81" s="17">
        <f t="shared" si="6"/>
        <v>5.2388454433177755E-3</v>
      </c>
      <c r="G81" s="17">
        <f t="shared" si="4"/>
        <v>5.8643987554468679E-4</v>
      </c>
      <c r="H81" s="17">
        <f t="shared" si="4"/>
        <v>5.4366323511647711E-3</v>
      </c>
      <c r="I81" s="17">
        <f t="shared" si="5"/>
        <v>0</v>
      </c>
    </row>
    <row r="82" spans="3:9" ht="15" thickBot="1" x14ac:dyDescent="0.35">
      <c r="C82" s="6" t="s">
        <v>26</v>
      </c>
      <c r="D82" s="25">
        <f t="shared" si="2"/>
        <v>9.6726525744738751E-2</v>
      </c>
      <c r="E82" s="25">
        <f t="shared" si="2"/>
        <v>0.1007340164614354</v>
      </c>
      <c r="F82" s="25">
        <f t="shared" si="6"/>
        <v>4.8547790950794985E-2</v>
      </c>
      <c r="G82" s="25">
        <f t="shared" si="4"/>
        <v>3.5156909429048054E-2</v>
      </c>
      <c r="H82" s="25">
        <f t="shared" si="4"/>
        <v>2.0447303930869493E-2</v>
      </c>
      <c r="I82" s="25">
        <f t="shared" si="5"/>
        <v>1.0423017331584426E-2</v>
      </c>
    </row>
    <row r="83" spans="3:9" ht="15" thickBot="1" x14ac:dyDescent="0.35">
      <c r="C83" s="4" t="s">
        <v>27</v>
      </c>
      <c r="D83" s="7" t="s">
        <v>28</v>
      </c>
      <c r="E83" s="7" t="s">
        <v>28</v>
      </c>
      <c r="F83" s="7" t="s">
        <v>28</v>
      </c>
      <c r="G83" s="7" t="s">
        <v>28</v>
      </c>
      <c r="H83" s="7" t="s">
        <v>28</v>
      </c>
      <c r="I83" s="7" t="s">
        <v>28</v>
      </c>
    </row>
    <row r="84" spans="3:9" ht="15" thickBot="1" x14ac:dyDescent="0.35">
      <c r="C84" s="6" t="s">
        <v>29</v>
      </c>
      <c r="D84" s="25">
        <f t="shared" ref="D84:I84" si="7">IFERROR(D30/D$16,0)</f>
        <v>9.6726525744738751E-2</v>
      </c>
      <c r="E84" s="25">
        <f t="shared" si="7"/>
        <v>0.1007340164614354</v>
      </c>
      <c r="F84" s="25">
        <f t="shared" si="7"/>
        <v>4.8547790950794985E-2</v>
      </c>
      <c r="G84" s="25">
        <f t="shared" si="7"/>
        <v>3.5156909429048054E-2</v>
      </c>
      <c r="H84" s="25">
        <f t="shared" si="7"/>
        <v>2.0447303930869493E-2</v>
      </c>
      <c r="I84" s="25">
        <f t="shared" si="7"/>
        <v>2.0656383455680785E-2</v>
      </c>
    </row>
    <row r="85" spans="3:9" ht="15" thickBot="1" x14ac:dyDescent="0.35">
      <c r="C85" s="18" t="s">
        <v>30</v>
      </c>
      <c r="D85" s="20"/>
      <c r="E85" s="19"/>
      <c r="F85" s="19"/>
      <c r="G85" s="19"/>
      <c r="H85" s="19"/>
      <c r="I85" s="19"/>
    </row>
    <row r="86" spans="3:9" ht="15" thickBot="1" x14ac:dyDescent="0.35">
      <c r="C86" s="6" t="s">
        <v>31</v>
      </c>
      <c r="D86" s="25">
        <f t="shared" ref="D86:F87" si="8">IFERROR(D32/D$16,0)</f>
        <v>0.10086346576152279</v>
      </c>
      <c r="E86" s="25">
        <f t="shared" si="8"/>
        <v>3.9821460806148522E-3</v>
      </c>
      <c r="F86" s="25">
        <f t="shared" si="8"/>
        <v>9.1303695565226384E-2</v>
      </c>
      <c r="G86" s="25">
        <f t="shared" ref="G86:I87" si="9">IFERROR(G32/G$16,0)</f>
        <v>8.9319889975443045E-2</v>
      </c>
      <c r="H86" s="25">
        <f t="shared" si="9"/>
        <v>0.10847120894838322</v>
      </c>
      <c r="I86" s="25">
        <f t="shared" si="9"/>
        <v>0.10958123275494332</v>
      </c>
    </row>
    <row r="87" spans="3:9" ht="15" thickBot="1" x14ac:dyDescent="0.35">
      <c r="C87" s="4" t="s">
        <v>24</v>
      </c>
      <c r="D87" s="17">
        <f t="shared" si="8"/>
        <v>3.4853457434013926E-2</v>
      </c>
      <c r="E87" s="17">
        <f t="shared" si="8"/>
        <v>0</v>
      </c>
      <c r="F87" s="17">
        <f t="shared" si="8"/>
        <v>4.8718362930765674E-2</v>
      </c>
      <c r="G87" s="17">
        <f t="shared" si="9"/>
        <v>4.2000035912851522E-2</v>
      </c>
      <c r="H87" s="17">
        <f t="shared" si="9"/>
        <v>4.0555560968859018E-2</v>
      </c>
      <c r="I87" s="17">
        <f t="shared" si="9"/>
        <v>4.0970580203919402E-2</v>
      </c>
    </row>
    <row r="88" spans="3:9" ht="15" thickBot="1" x14ac:dyDescent="0.35">
      <c r="C88" s="4" t="s">
        <v>32</v>
      </c>
      <c r="D88" s="5" t="s">
        <v>33</v>
      </c>
      <c r="E88" s="5" t="s">
        <v>33</v>
      </c>
      <c r="F88" s="5" t="s">
        <v>33</v>
      </c>
      <c r="G88" s="5" t="s">
        <v>33</v>
      </c>
      <c r="H88" s="5" t="s">
        <v>33</v>
      </c>
      <c r="I88" s="5" t="s">
        <v>33</v>
      </c>
    </row>
    <row r="89" spans="3:9" ht="15" thickBot="1" x14ac:dyDescent="0.35">
      <c r="C89" s="4" t="s">
        <v>34</v>
      </c>
      <c r="D89" s="17">
        <f t="shared" ref="D89:I89" si="10">IFERROR(D35/D$16,0)</f>
        <v>0</v>
      </c>
      <c r="E89" s="17">
        <f t="shared" si="10"/>
        <v>0</v>
      </c>
      <c r="F89" s="17">
        <f t="shared" si="10"/>
        <v>2.933486051502383E-2</v>
      </c>
      <c r="G89" s="17">
        <f t="shared" si="10"/>
        <v>2.9182868093473126E-2</v>
      </c>
      <c r="H89" s="17">
        <f t="shared" si="10"/>
        <v>3.320694439459581E-2</v>
      </c>
      <c r="I89" s="17">
        <f t="shared" si="10"/>
        <v>3.3546762666914129E-2</v>
      </c>
    </row>
    <row r="90" spans="3:9" ht="15" thickBot="1" x14ac:dyDescent="0.35">
      <c r="C90" s="4" t="s">
        <v>35</v>
      </c>
      <c r="D90" s="17">
        <f t="shared" ref="D90:F91" si="11">IFERROR(D36/D$16,0)</f>
        <v>6.5149334827341573E-2</v>
      </c>
      <c r="E90" s="17">
        <f t="shared" si="11"/>
        <v>0</v>
      </c>
      <c r="F90" s="17">
        <f t="shared" si="11"/>
        <v>1.1461265812043063E-2</v>
      </c>
      <c r="G90" s="17">
        <f t="shared" ref="G90:I91" si="12">IFERROR(G36/G$16,0)</f>
        <v>1.8110168501283181E-2</v>
      </c>
      <c r="H90" s="17">
        <f t="shared" si="12"/>
        <v>3.4708687263410413E-2</v>
      </c>
      <c r="I90" s="17">
        <f t="shared" si="12"/>
        <v>3.5063873395568018E-2</v>
      </c>
    </row>
    <row r="91" spans="3:9" ht="15" thickBot="1" x14ac:dyDescent="0.35">
      <c r="C91" s="6" t="s">
        <v>36</v>
      </c>
      <c r="D91" s="25">
        <f t="shared" si="11"/>
        <v>0.1000027922613555</v>
      </c>
      <c r="E91" s="25">
        <f t="shared" si="11"/>
        <v>0</v>
      </c>
      <c r="F91" s="25">
        <f t="shared" si="11"/>
        <v>8.9514473472900133E-2</v>
      </c>
      <c r="G91" s="25">
        <f t="shared" si="12"/>
        <v>8.9293057861257283E-2</v>
      </c>
      <c r="H91" s="25">
        <f t="shared" si="12"/>
        <v>0.10847120894838322</v>
      </c>
      <c r="I91" s="25">
        <f t="shared" si="12"/>
        <v>0.10958123275494332</v>
      </c>
    </row>
    <row r="92" spans="3:9" ht="15" thickBot="1" x14ac:dyDescent="0.35">
      <c r="C92" s="18" t="s">
        <v>37</v>
      </c>
      <c r="D92" s="20"/>
      <c r="E92" s="19"/>
      <c r="F92" s="19"/>
      <c r="G92" s="19"/>
      <c r="H92" s="19"/>
      <c r="I92" s="19"/>
    </row>
    <row r="93" spans="3:9" ht="15" thickBot="1" x14ac:dyDescent="0.35">
      <c r="C93" s="4" t="s">
        <v>38</v>
      </c>
      <c r="D93" s="17">
        <f t="shared" ref="D93:E97" si="13">IFERROR(D39/D$16,0)</f>
        <v>0.89773476362815008</v>
      </c>
      <c r="E93" s="17">
        <f t="shared" si="13"/>
        <v>0.69700700744662392</v>
      </c>
      <c r="F93" s="17">
        <f>IFERROR(F39/F$16,0)</f>
        <v>0.69694334569914418</v>
      </c>
      <c r="G93" s="17">
        <f t="shared" ref="G93:H97" si="14">IFERROR(G39/G$16,0)</f>
        <v>0.41716816503226578</v>
      </c>
      <c r="H93" s="17">
        <f t="shared" si="14"/>
        <v>0.63129824732521744</v>
      </c>
      <c r="I93" s="17">
        <f>IFERROR(I39/I$16,0)</f>
        <v>0.63775854301440915</v>
      </c>
    </row>
    <row r="94" spans="3:9" ht="15" thickBot="1" x14ac:dyDescent="0.35">
      <c r="C94" s="4" t="s">
        <v>39</v>
      </c>
      <c r="D94" s="17">
        <f t="shared" si="13"/>
        <v>1.1604851917237691</v>
      </c>
      <c r="E94" s="17">
        <f t="shared" si="13"/>
        <v>1.5125591256519553</v>
      </c>
      <c r="F94" s="17">
        <f>IFERROR(F40/F$16,0)</f>
        <v>1.4568512715568114</v>
      </c>
      <c r="G94" s="17">
        <f t="shared" si="14"/>
        <v>1.407233252535276</v>
      </c>
      <c r="H94" s="17">
        <f t="shared" si="14"/>
        <v>1.4577929054311174</v>
      </c>
      <c r="I94" s="17">
        <f>IFERROR(I40/I$16,0)</f>
        <v>1.4727110099286249</v>
      </c>
    </row>
    <row r="95" spans="3:9" ht="15" thickBot="1" x14ac:dyDescent="0.35">
      <c r="C95" s="4" t="s">
        <v>40</v>
      </c>
      <c r="D95" s="17">
        <f t="shared" si="13"/>
        <v>0.51686146894834195</v>
      </c>
      <c r="E95" s="17">
        <f t="shared" si="13"/>
        <v>0.70889829167201912</v>
      </c>
      <c r="F95" s="17">
        <f>IFERROR(F41/F$16,0)</f>
        <v>0.67258440100774797</v>
      </c>
      <c r="G95" s="17">
        <f t="shared" si="14"/>
        <v>0.37462795706521934</v>
      </c>
      <c r="H95" s="17">
        <f t="shared" si="14"/>
        <v>0.7013458609470975</v>
      </c>
      <c r="I95" s="17">
        <f>IFERROR(I41/I$16,0)</f>
        <v>0.708523143243036</v>
      </c>
    </row>
    <row r="96" spans="3:9" ht="15" thickBot="1" x14ac:dyDescent="0.35">
      <c r="C96" s="4" t="s">
        <v>41</v>
      </c>
      <c r="D96" s="17">
        <f t="shared" si="13"/>
        <v>0.63958986489472258</v>
      </c>
      <c r="E96" s="17">
        <f t="shared" si="13"/>
        <v>0.6390710563284121</v>
      </c>
      <c r="F96" s="17">
        <f>IFERROR(F42/F$16,0)</f>
        <v>0.6043499106588609</v>
      </c>
      <c r="G96" s="17">
        <f t="shared" si="14"/>
        <v>0.59229301125656986</v>
      </c>
      <c r="H96" s="17">
        <f t="shared" si="14"/>
        <v>0.42062924968463972</v>
      </c>
      <c r="I96" s="17">
        <f>IFERROR(I42/I$16,0)</f>
        <v>0.42493369586360363</v>
      </c>
    </row>
    <row r="97" spans="3:9" ht="15" thickBot="1" x14ac:dyDescent="0.35">
      <c r="C97" s="6" t="s">
        <v>42</v>
      </c>
      <c r="D97" s="25">
        <f t="shared" si="13"/>
        <v>0.81004855507005302</v>
      </c>
      <c r="E97" s="25">
        <f t="shared" si="13"/>
        <v>0.76104806134366043</v>
      </c>
      <c r="F97" s="25">
        <f>IFERROR(F43/F$16,0)</f>
        <v>0.8272748605345972</v>
      </c>
      <c r="G97" s="25">
        <f t="shared" si="14"/>
        <v>0.82099305068747475</v>
      </c>
      <c r="H97" s="25">
        <f t="shared" si="14"/>
        <v>0.94961178535029833</v>
      </c>
      <c r="I97" s="25">
        <f>IFERROR(I43/I$16,0)</f>
        <v>0.95932949476783114</v>
      </c>
    </row>
    <row r="98" spans="3:9" ht="15" thickBot="1" x14ac:dyDescent="0.35">
      <c r="C98" s="18" t="s">
        <v>43</v>
      </c>
      <c r="D98" s="20"/>
      <c r="E98" s="19"/>
      <c r="F98" s="19"/>
      <c r="G98" s="19"/>
      <c r="H98" s="19"/>
      <c r="I98" s="19"/>
    </row>
    <row r="99" spans="3:9" ht="15" thickBot="1" x14ac:dyDescent="0.35">
      <c r="C99" s="4" t="s">
        <v>44</v>
      </c>
      <c r="D99" s="17">
        <f t="shared" ref="D99:I99" si="15">IFERROR(D45/D$16,0)</f>
        <v>-3.0119218873692009E-5</v>
      </c>
      <c r="E99" s="17">
        <f t="shared" si="15"/>
        <v>2.5359790670448603E-2</v>
      </c>
      <c r="F99" s="17">
        <f t="shared" si="15"/>
        <v>0.85192708927076988</v>
      </c>
      <c r="G99" s="17">
        <f t="shared" si="15"/>
        <v>1.0075824303199141</v>
      </c>
      <c r="H99" s="17">
        <f t="shared" si="15"/>
        <v>6.6476742954910614E-2</v>
      </c>
      <c r="I99" s="17">
        <f t="shared" si="15"/>
        <v>6.7157022708201106E-2</v>
      </c>
    </row>
    <row r="100" spans="3:9" ht="15" thickBot="1" x14ac:dyDescent="0.35">
      <c r="C100" s="4" t="s">
        <v>45</v>
      </c>
      <c r="D100" s="17">
        <f t="shared" ref="D100:E102" si="16">IFERROR(D46/D$16,0)</f>
        <v>-1.9595698366036336E-3</v>
      </c>
      <c r="E100" s="17">
        <f t="shared" si="16"/>
        <v>6.8197240091059897E-4</v>
      </c>
      <c r="F100" s="17">
        <f>IFERROR(F46/F$16,0)</f>
        <v>6.834875747483637E-6</v>
      </c>
      <c r="G100" s="17">
        <f t="shared" ref="G100:H102" si="17">IFERROR(G46/G$16,0)</f>
        <v>2.8575029899792305E-5</v>
      </c>
      <c r="H100" s="17">
        <f t="shared" si="17"/>
        <v>0</v>
      </c>
      <c r="I100" s="17">
        <f>IFERROR(I46/I$16,0)</f>
        <v>0</v>
      </c>
    </row>
    <row r="101" spans="3:9" ht="15" thickBot="1" x14ac:dyDescent="0.35">
      <c r="C101" s="4" t="s">
        <v>46</v>
      </c>
      <c r="D101" s="17">
        <f t="shared" si="16"/>
        <v>1.240080669637704E-2</v>
      </c>
      <c r="E101" s="17">
        <f t="shared" si="16"/>
        <v>6.8228551655691123E-3</v>
      </c>
      <c r="F101" s="17">
        <f>IFERROR(F47/F$16,0)</f>
        <v>1.4813638194258029E-2</v>
      </c>
      <c r="G101" s="17">
        <f t="shared" si="17"/>
        <v>8.4916757613180335E-3</v>
      </c>
      <c r="H101" s="17">
        <f t="shared" si="17"/>
        <v>0</v>
      </c>
      <c r="I101" s="17">
        <f>IFERROR(I47/I$16,0)</f>
        <v>0</v>
      </c>
    </row>
    <row r="102" spans="3:9" ht="15" thickBot="1" x14ac:dyDescent="0.35">
      <c r="C102" s="6" t="s">
        <v>47</v>
      </c>
      <c r="D102" s="25">
        <f t="shared" si="16"/>
        <v>1.6837256816744084E-2</v>
      </c>
      <c r="E102" s="25">
        <f t="shared" si="16"/>
        <v>3.5651967197156874E-2</v>
      </c>
      <c r="F102" s="25">
        <f>IFERROR(F48/F$16,0)</f>
        <v>0.88236282254417941</v>
      </c>
      <c r="G102" s="25">
        <f t="shared" si="17"/>
        <v>1.1051169163971959</v>
      </c>
      <c r="H102" s="25">
        <f t="shared" si="17"/>
        <v>7.7079168387974753E-2</v>
      </c>
      <c r="I102" s="25">
        <f>IFERROR(I48/I$16,0)</f>
        <v>7.7867946467706686E-2</v>
      </c>
    </row>
    <row r="103" spans="3:9" ht="15" thickBot="1" x14ac:dyDescent="0.35">
      <c r="C103" s="18" t="s">
        <v>48</v>
      </c>
      <c r="D103" s="20"/>
      <c r="E103" s="19"/>
      <c r="F103" s="19"/>
      <c r="G103" s="19"/>
      <c r="H103" s="19"/>
      <c r="I103" s="19"/>
    </row>
    <row r="104" spans="3:9" ht="15" thickBot="1" x14ac:dyDescent="0.35">
      <c r="C104" s="4" t="s">
        <v>49</v>
      </c>
      <c r="D104" s="17">
        <f t="shared" ref="D104:E106" si="18">IFERROR(D50/D$16,0)</f>
        <v>6.0259216446344188E-3</v>
      </c>
      <c r="E104" s="17">
        <f t="shared" si="18"/>
        <v>7.8381326487364147E-3</v>
      </c>
      <c r="F104" s="17">
        <f>IFERROR(F50/F$16,0)</f>
        <v>9.3869836247426541E-4</v>
      </c>
      <c r="G104" s="17">
        <f t="shared" ref="G104:H106" si="19">IFERROR(G50/G$16,0)</f>
        <v>1.4693951177327847E-2</v>
      </c>
      <c r="H104" s="17">
        <f t="shared" si="19"/>
        <v>6.9302520004835735E-2</v>
      </c>
      <c r="I104" s="17">
        <f>IFERROR(I50/I$16,0)</f>
        <v>2.1269955072186257E-2</v>
      </c>
    </row>
    <row r="105" spans="3:9" ht="15" thickBot="1" x14ac:dyDescent="0.35">
      <c r="C105" s="4" t="s">
        <v>50</v>
      </c>
      <c r="D105" s="17">
        <f t="shared" si="18"/>
        <v>1.7183113313626815E-2</v>
      </c>
      <c r="E105" s="17">
        <f t="shared" si="18"/>
        <v>1.3311312605740745E-2</v>
      </c>
      <c r="F105" s="17">
        <f>IFERROR(F51/F$16,0)</f>
        <v>1.65040623944284E-2</v>
      </c>
      <c r="G105" s="17">
        <f t="shared" si="19"/>
        <v>1.6374751718727265E-2</v>
      </c>
      <c r="H105" s="17">
        <f t="shared" si="19"/>
        <v>2.2605188143768613E-2</v>
      </c>
      <c r="I105" s="17">
        <f>IFERROR(I51/I$16,0)</f>
        <v>1.3379346917550383E-2</v>
      </c>
    </row>
    <row r="106" spans="3:9" ht="15" thickBot="1" x14ac:dyDescent="0.35">
      <c r="C106" s="4" t="s">
        <v>51</v>
      </c>
      <c r="D106" s="17">
        <f t="shared" si="18"/>
        <v>1.7936964511901731E-4</v>
      </c>
      <c r="E106" s="17">
        <f t="shared" si="18"/>
        <v>1.9076733832636458E-3</v>
      </c>
      <c r="F106" s="17">
        <f>IFERROR(F52/F$16,0)</f>
        <v>3.9733831943570001E-4</v>
      </c>
      <c r="G106" s="17">
        <f t="shared" si="19"/>
        <v>1.6667546912334005E-4</v>
      </c>
      <c r="H106" s="17">
        <f t="shared" si="19"/>
        <v>7.9980824174962356E-3</v>
      </c>
      <c r="I106" s="17">
        <f>IFERROR(I52/I$16,0)</f>
        <v>1.3997123112208303E-4</v>
      </c>
    </row>
  </sheetData>
  <mergeCells count="1">
    <mergeCell ref="C53:C54"/>
  </mergeCells>
  <hyperlinks>
    <hyperlink ref="C9" r:id="rId1" display="https://municipalities.co.za/financial/2/city-of-johannesburg-metropolitan-municipality" xr:uid="{1A5C7619-DC2D-43DA-AB80-25545E58F647}"/>
    <hyperlink ref="C58" r:id="rId2" xr:uid="{29381E42-C6AE-4562-83E8-A0A803338F2D}"/>
    <hyperlink ref="C5" r:id="rId3" xr:uid="{088B83F9-B2EE-462C-B781-AD3AF73A1F60}"/>
    <hyperlink ref="M9" r:id="rId4" display="https://municipalities.co.za/financial/2/city-of-johannesburg-metropolitan-municipality" xr:uid="{45D32A2C-0E3A-422D-B0F3-68B1EC0A2E27}"/>
    <hyperlink ref="I2" location="Contents!E9" display="Contents!E9" xr:uid="{1F780CF7-33BE-4871-91C8-236630ECD030}"/>
  </hyperlinks>
  <printOptions headings="1"/>
  <pageMargins left="0.27559055118110237" right="0.19685039370078741" top="0.35433070866141736" bottom="0.27559055118110237" header="0.15748031496062992" footer="0.11811023622047245"/>
  <pageSetup paperSize="9" scale="61" fitToHeight="2" orientation="landscape" r:id="rId5"/>
  <headerFooter>
    <oddFooter>&amp;R&amp;F &amp;A &amp;D P&amp;P/&amp;N</oddFooter>
  </headerFooter>
  <rowBreaks count="1" manualBreakCount="1">
    <brk id="5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B7706-845E-4721-B453-CE4538D6D641}">
  <sheetPr>
    <pageSetUpPr fitToPage="1"/>
  </sheetPr>
  <dimension ref="C1:T22"/>
  <sheetViews>
    <sheetView tabSelected="1" view="pageBreakPreview" zoomScale="80" zoomScaleNormal="100" zoomScaleSheetLayoutView="80" workbookViewId="0">
      <selection activeCell="E3" sqref="E3"/>
    </sheetView>
  </sheetViews>
  <sheetFormatPr defaultRowHeight="14.4" outlineLevelCol="1" x14ac:dyDescent="0.3"/>
  <cols>
    <col min="1" max="2" width="3" customWidth="1"/>
    <col min="3" max="3" width="56" customWidth="1"/>
    <col min="4" max="4" width="11" customWidth="1"/>
    <col min="5" max="5" width="12.33203125" customWidth="1"/>
    <col min="6" max="6" width="11.5546875" customWidth="1"/>
    <col min="7" max="7" width="12.77734375" customWidth="1"/>
    <col min="8" max="9" width="13.44140625" bestFit="1" customWidth="1"/>
    <col min="10" max="12" width="13.44140625" customWidth="1"/>
    <col min="13" max="13" width="12.21875" hidden="1" customWidth="1" outlineLevel="1"/>
    <col min="14" max="14" width="83.77734375" hidden="1" customWidth="1" outlineLevel="1"/>
    <col min="15" max="19" width="10.5546875" hidden="1" customWidth="1" outlineLevel="1"/>
    <col min="20" max="20" width="8.77734375" collapsed="1"/>
  </cols>
  <sheetData>
    <row r="1" spans="3:19" ht="18" x14ac:dyDescent="0.35">
      <c r="C1" s="78" t="s">
        <v>234</v>
      </c>
    </row>
    <row r="2" spans="3:19" ht="18" x14ac:dyDescent="0.35">
      <c r="C2" s="78" t="s">
        <v>241</v>
      </c>
    </row>
    <row r="3" spans="3:19" ht="18" x14ac:dyDescent="0.35">
      <c r="C3" s="78" t="s">
        <v>238</v>
      </c>
      <c r="I3" s="160" t="s">
        <v>518</v>
      </c>
    </row>
    <row r="5" spans="3:19" x14ac:dyDescent="0.3">
      <c r="C5" s="11" t="s">
        <v>107</v>
      </c>
    </row>
    <row r="7" spans="3:19" ht="16.2" thickBot="1" x14ac:dyDescent="0.35">
      <c r="C7" s="29" t="s">
        <v>61</v>
      </c>
      <c r="D7" s="29"/>
      <c r="E7" s="29"/>
      <c r="N7" s="90" t="s">
        <v>61</v>
      </c>
    </row>
    <row r="8" spans="3:19" ht="15" thickBot="1" x14ac:dyDescent="0.35">
      <c r="C8" s="10"/>
      <c r="D8" s="7" t="s">
        <v>63</v>
      </c>
      <c r="E8" s="7" t="s">
        <v>62</v>
      </c>
      <c r="F8" s="7" t="s">
        <v>5</v>
      </c>
      <c r="G8" s="7" t="s">
        <v>4</v>
      </c>
      <c r="H8" s="7" t="s">
        <v>3</v>
      </c>
      <c r="I8" s="92" t="s">
        <v>2</v>
      </c>
      <c r="J8" s="92" t="s">
        <v>1</v>
      </c>
      <c r="K8" s="134"/>
      <c r="L8" s="134"/>
      <c r="N8" s="91"/>
      <c r="O8" s="92" t="s">
        <v>1</v>
      </c>
      <c r="P8" s="92" t="s">
        <v>2</v>
      </c>
      <c r="Q8" s="92" t="s">
        <v>3</v>
      </c>
      <c r="R8" s="92" t="s">
        <v>4</v>
      </c>
      <c r="S8" s="92" t="s">
        <v>5</v>
      </c>
    </row>
    <row r="9" spans="3:19" ht="15" thickBot="1" x14ac:dyDescent="0.35">
      <c r="C9" s="30" t="s">
        <v>64</v>
      </c>
      <c r="D9" s="32"/>
      <c r="E9" s="31"/>
      <c r="F9" s="31"/>
      <c r="G9" s="31"/>
      <c r="H9" s="31"/>
      <c r="I9" s="132"/>
      <c r="J9" s="132"/>
      <c r="K9" s="135"/>
      <c r="L9" s="135"/>
      <c r="M9">
        <f>IF(C9=N9,1,0)</f>
        <v>1</v>
      </c>
      <c r="N9" s="131" t="s">
        <v>64</v>
      </c>
      <c r="O9" s="132"/>
      <c r="P9" s="132"/>
      <c r="Q9" s="132"/>
      <c r="R9" s="132"/>
      <c r="S9" s="133"/>
    </row>
    <row r="10" spans="3:19" ht="15" thickBot="1" x14ac:dyDescent="0.35">
      <c r="C10" s="4" t="s">
        <v>65</v>
      </c>
      <c r="D10" s="21">
        <v>8999338</v>
      </c>
      <c r="E10" s="21">
        <v>10255081</v>
      </c>
      <c r="F10" s="21">
        <v>11631360</v>
      </c>
      <c r="G10" s="21">
        <v>13555280</v>
      </c>
      <c r="H10" s="21">
        <v>14852303</v>
      </c>
      <c r="I10" s="94" t="s">
        <v>265</v>
      </c>
      <c r="J10" s="94" t="s">
        <v>264</v>
      </c>
      <c r="K10" s="136"/>
      <c r="L10" s="136"/>
      <c r="M10">
        <f t="shared" ref="M10:M21" si="0">IF(C10=N10,1,0)</f>
        <v>1</v>
      </c>
      <c r="N10" s="99" t="s">
        <v>65</v>
      </c>
      <c r="O10" s="94" t="s">
        <v>264</v>
      </c>
      <c r="P10" s="94" t="s">
        <v>265</v>
      </c>
      <c r="Q10" s="94" t="s">
        <v>266</v>
      </c>
      <c r="R10" s="94" t="s">
        <v>367</v>
      </c>
      <c r="S10" s="94" t="s">
        <v>368</v>
      </c>
    </row>
    <row r="11" spans="3:19" ht="15" thickBot="1" x14ac:dyDescent="0.35">
      <c r="C11" s="4" t="s">
        <v>66</v>
      </c>
      <c r="D11" s="21">
        <v>133887</v>
      </c>
      <c r="E11" s="21">
        <v>139593</v>
      </c>
      <c r="F11" s="21">
        <v>170203</v>
      </c>
      <c r="G11" s="21">
        <v>162088</v>
      </c>
      <c r="H11" s="21">
        <v>166266</v>
      </c>
      <c r="I11" s="94" t="s">
        <v>268</v>
      </c>
      <c r="J11" s="94" t="s">
        <v>267</v>
      </c>
      <c r="K11" s="136"/>
      <c r="L11" s="136"/>
      <c r="M11">
        <f t="shared" si="0"/>
        <v>1</v>
      </c>
      <c r="N11" s="99" t="s">
        <v>66</v>
      </c>
      <c r="O11" s="94" t="s">
        <v>267</v>
      </c>
      <c r="P11" s="94" t="s">
        <v>268</v>
      </c>
      <c r="Q11" s="94" t="s">
        <v>269</v>
      </c>
      <c r="R11" s="94" t="s">
        <v>369</v>
      </c>
      <c r="S11" s="94" t="s">
        <v>370</v>
      </c>
    </row>
    <row r="12" spans="3:19" ht="15" thickBot="1" x14ac:dyDescent="0.35">
      <c r="C12" s="26"/>
      <c r="D12" s="34"/>
      <c r="E12" s="33"/>
      <c r="F12" s="33"/>
      <c r="G12" s="33"/>
      <c r="H12" s="33"/>
      <c r="I12" s="106"/>
      <c r="J12" s="106"/>
      <c r="K12" s="137"/>
      <c r="L12" s="137"/>
      <c r="M12">
        <f t="shared" si="0"/>
        <v>1</v>
      </c>
      <c r="N12" s="37"/>
      <c r="O12" s="106"/>
      <c r="P12" s="106"/>
      <c r="Q12" s="106"/>
      <c r="R12" s="106"/>
      <c r="S12" s="107"/>
    </row>
    <row r="13" spans="3:19" ht="15" thickBot="1" x14ac:dyDescent="0.35">
      <c r="C13" s="4" t="s">
        <v>67</v>
      </c>
      <c r="D13" s="21">
        <v>29433</v>
      </c>
      <c r="E13" s="21">
        <v>30110</v>
      </c>
      <c r="F13" s="21">
        <v>29665</v>
      </c>
      <c r="G13" s="21">
        <v>34737</v>
      </c>
      <c r="H13" s="21">
        <v>40441</v>
      </c>
      <c r="I13" s="94" t="s">
        <v>372</v>
      </c>
      <c r="J13" s="94" t="s">
        <v>371</v>
      </c>
      <c r="K13" s="136"/>
      <c r="L13" s="136"/>
      <c r="M13">
        <f t="shared" si="0"/>
        <v>1</v>
      </c>
      <c r="N13" s="99" t="s">
        <v>67</v>
      </c>
      <c r="O13" s="94" t="s">
        <v>371</v>
      </c>
      <c r="P13" s="94" t="s">
        <v>372</v>
      </c>
      <c r="Q13" s="94" t="s">
        <v>373</v>
      </c>
      <c r="R13" s="94" t="s">
        <v>374</v>
      </c>
      <c r="S13" s="94" t="s">
        <v>375</v>
      </c>
    </row>
    <row r="14" spans="3:19" ht="15" thickBot="1" x14ac:dyDescent="0.35">
      <c r="C14" s="4" t="s">
        <v>68</v>
      </c>
      <c r="D14" s="21">
        <v>1467</v>
      </c>
      <c r="E14" s="21">
        <v>2145</v>
      </c>
      <c r="F14" s="21">
        <v>2193</v>
      </c>
      <c r="G14" s="21">
        <v>2191</v>
      </c>
      <c r="H14" s="21">
        <v>2417</v>
      </c>
      <c r="I14" s="94" t="s">
        <v>377</v>
      </c>
      <c r="J14" s="94" t="s">
        <v>376</v>
      </c>
      <c r="K14" s="136"/>
      <c r="L14" s="136"/>
      <c r="M14">
        <f t="shared" si="0"/>
        <v>1</v>
      </c>
      <c r="N14" s="99" t="s">
        <v>68</v>
      </c>
      <c r="O14" s="94" t="s">
        <v>376</v>
      </c>
      <c r="P14" s="94" t="s">
        <v>377</v>
      </c>
      <c r="Q14" s="94" t="s">
        <v>378</v>
      </c>
      <c r="R14" s="94" t="s">
        <v>379</v>
      </c>
      <c r="S14" s="94" t="s">
        <v>380</v>
      </c>
    </row>
    <row r="15" spans="3:19" ht="15" thickBot="1" x14ac:dyDescent="0.35">
      <c r="C15" s="4" t="s">
        <v>69</v>
      </c>
      <c r="D15" s="21">
        <v>4.9799999999999997E-2</v>
      </c>
      <c r="E15" s="21">
        <v>7.1199999999999999E-2</v>
      </c>
      <c r="F15" s="21">
        <v>7.3899999999999993E-2</v>
      </c>
      <c r="G15" s="21">
        <v>6.3100000000000003E-2</v>
      </c>
      <c r="H15" s="21">
        <v>5.9799999999999999E-2</v>
      </c>
      <c r="I15" s="108">
        <v>5.6800000000000003E-2</v>
      </c>
      <c r="J15" s="108">
        <v>6.5600000000000006E-2</v>
      </c>
      <c r="K15" s="138"/>
      <c r="L15" s="138"/>
      <c r="M15">
        <f t="shared" si="0"/>
        <v>1</v>
      </c>
      <c r="N15" s="99" t="s">
        <v>69</v>
      </c>
      <c r="O15" s="108">
        <v>6.5600000000000006E-2</v>
      </c>
      <c r="P15" s="108">
        <v>5.6800000000000003E-2</v>
      </c>
      <c r="Q15" s="108">
        <v>5.9799999999999999E-2</v>
      </c>
      <c r="R15" s="108">
        <v>6.3100000000000003E-2</v>
      </c>
      <c r="S15" s="108">
        <v>7.3899999999999993E-2</v>
      </c>
    </row>
    <row r="16" spans="3:19" ht="15" thickBot="1" x14ac:dyDescent="0.35">
      <c r="C16" s="26"/>
      <c r="D16" s="34"/>
      <c r="E16" s="33"/>
      <c r="F16" s="33"/>
      <c r="G16" s="33"/>
      <c r="H16" s="33"/>
      <c r="I16" s="106"/>
      <c r="J16" s="106"/>
      <c r="K16" s="137"/>
      <c r="L16" s="137"/>
      <c r="M16">
        <f t="shared" si="0"/>
        <v>1</v>
      </c>
      <c r="N16" s="37"/>
      <c r="O16" s="106"/>
      <c r="P16" s="106"/>
      <c r="Q16" s="106"/>
      <c r="R16" s="106"/>
      <c r="S16" s="107"/>
    </row>
    <row r="17" spans="3:19" ht="15" thickBot="1" x14ac:dyDescent="0.35">
      <c r="C17" s="4" t="s">
        <v>70</v>
      </c>
      <c r="D17" s="21">
        <v>33</v>
      </c>
      <c r="E17" s="21">
        <v>33</v>
      </c>
      <c r="F17" s="21">
        <v>34</v>
      </c>
      <c r="G17" s="21">
        <v>34</v>
      </c>
      <c r="H17" s="21">
        <v>34</v>
      </c>
      <c r="I17" s="94">
        <v>34</v>
      </c>
      <c r="J17" s="94">
        <v>34</v>
      </c>
      <c r="K17" s="136"/>
      <c r="L17" s="136"/>
      <c r="M17">
        <f t="shared" si="0"/>
        <v>0</v>
      </c>
      <c r="N17" s="99" t="s">
        <v>381</v>
      </c>
      <c r="O17" s="94">
        <v>34</v>
      </c>
      <c r="P17" s="94">
        <v>34</v>
      </c>
      <c r="Q17" s="94">
        <v>34</v>
      </c>
      <c r="R17" s="94">
        <v>34</v>
      </c>
      <c r="S17" s="94">
        <v>34</v>
      </c>
    </row>
    <row r="18" spans="3:19" ht="15" thickBot="1" x14ac:dyDescent="0.35">
      <c r="C18" s="27" t="s">
        <v>71</v>
      </c>
      <c r="D18" s="35">
        <v>3</v>
      </c>
      <c r="E18" s="35">
        <v>9</v>
      </c>
      <c r="F18" s="35">
        <v>14</v>
      </c>
      <c r="G18" s="35">
        <v>13</v>
      </c>
      <c r="H18" s="35">
        <v>10</v>
      </c>
      <c r="I18" s="94">
        <v>6</v>
      </c>
      <c r="J18" s="94">
        <v>11</v>
      </c>
      <c r="K18" s="136"/>
      <c r="L18" s="136"/>
      <c r="M18">
        <f t="shared" si="0"/>
        <v>0</v>
      </c>
      <c r="N18" s="99" t="s">
        <v>382</v>
      </c>
      <c r="O18" s="94">
        <v>11</v>
      </c>
      <c r="P18" s="94">
        <v>6</v>
      </c>
      <c r="Q18" s="94">
        <v>10</v>
      </c>
      <c r="R18" s="94">
        <v>13</v>
      </c>
      <c r="S18" s="94">
        <v>14</v>
      </c>
    </row>
    <row r="19" spans="3:19" ht="15" thickBot="1" x14ac:dyDescent="0.35">
      <c r="C19" s="4" t="s">
        <v>72</v>
      </c>
      <c r="D19" s="21">
        <v>2669</v>
      </c>
      <c r="E19" s="21">
        <v>2995</v>
      </c>
      <c r="F19" s="21">
        <v>3076</v>
      </c>
      <c r="G19" s="21">
        <v>3088</v>
      </c>
      <c r="H19" s="21">
        <v>3311</v>
      </c>
      <c r="I19" s="94" t="s">
        <v>384</v>
      </c>
      <c r="J19" s="94" t="s">
        <v>383</v>
      </c>
      <c r="K19" s="136"/>
      <c r="L19" s="136"/>
      <c r="M19">
        <f t="shared" si="0"/>
        <v>1</v>
      </c>
      <c r="N19" s="99" t="s">
        <v>72</v>
      </c>
      <c r="O19" s="94" t="s">
        <v>383</v>
      </c>
      <c r="P19" s="94" t="s">
        <v>384</v>
      </c>
      <c r="Q19" s="94" t="s">
        <v>385</v>
      </c>
      <c r="R19" s="94" t="s">
        <v>386</v>
      </c>
      <c r="S19" s="94" t="s">
        <v>387</v>
      </c>
    </row>
    <row r="20" spans="3:19" ht="15" thickBot="1" x14ac:dyDescent="0.35">
      <c r="C20" s="4" t="s">
        <v>73</v>
      </c>
      <c r="D20" s="21">
        <v>146</v>
      </c>
      <c r="E20" s="21">
        <v>230</v>
      </c>
      <c r="F20" s="21">
        <v>293</v>
      </c>
      <c r="G20" s="21">
        <v>326</v>
      </c>
      <c r="H20" s="21">
        <v>280</v>
      </c>
      <c r="I20" s="94">
        <v>279</v>
      </c>
      <c r="J20" s="94">
        <v>333</v>
      </c>
      <c r="K20" s="136"/>
      <c r="L20" s="136"/>
      <c r="M20">
        <f t="shared" si="0"/>
        <v>1</v>
      </c>
      <c r="N20" s="99" t="s">
        <v>73</v>
      </c>
      <c r="O20" s="94">
        <v>333</v>
      </c>
      <c r="P20" s="94">
        <v>279</v>
      </c>
      <c r="Q20" s="94">
        <v>280</v>
      </c>
      <c r="R20" s="94">
        <v>326</v>
      </c>
      <c r="S20" s="94">
        <v>293</v>
      </c>
    </row>
    <row r="21" spans="3:19" ht="15" thickBot="1" x14ac:dyDescent="0.35">
      <c r="C21" s="4" t="s">
        <v>74</v>
      </c>
      <c r="D21" s="21">
        <v>1539</v>
      </c>
      <c r="E21" s="21">
        <v>1066</v>
      </c>
      <c r="F21" s="21">
        <v>1034</v>
      </c>
      <c r="G21" s="21">
        <v>955</v>
      </c>
      <c r="H21" s="21">
        <v>0</v>
      </c>
      <c r="M21">
        <f t="shared" si="0"/>
        <v>0</v>
      </c>
      <c r="N21" s="105" t="s">
        <v>366</v>
      </c>
    </row>
    <row r="22" spans="3:19" x14ac:dyDescent="0.3">
      <c r="C22" s="28" t="s">
        <v>75</v>
      </c>
      <c r="D22" s="28"/>
      <c r="E22" s="28"/>
    </row>
  </sheetData>
  <hyperlinks>
    <hyperlink ref="C5" r:id="rId1" xr:uid="{931AC403-11F7-4111-83F5-E85E1B475BF2}"/>
    <hyperlink ref="I3" location="Contents!E9" display="Contents!E9" xr:uid="{1670BA68-A4EA-4E0C-9E92-91FB5D131481}"/>
  </hyperlinks>
  <printOptions headings="1"/>
  <pageMargins left="0.35433070866141736" right="0.35433070866141736" top="0.74803149606299213" bottom="0.74803149606299213" header="0.31496062992125984" footer="0.31496062992125984"/>
  <pageSetup paperSize="9" scale="91" orientation="landscape" r:id="rId2"/>
  <headerFooter>
    <oddFooter>&amp;R&amp;F &amp;A &amp;D P&amp;P/&amp;N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7</vt:i4>
      </vt:variant>
    </vt:vector>
  </HeadingPairs>
  <TitlesOfParts>
    <vt:vector size="22" baseType="lpstr">
      <vt:lpstr>Contents</vt:lpstr>
      <vt:lpstr>AFS Summary &amp; Charts 15yrs</vt:lpstr>
      <vt:lpstr>Tables &amp; Charts 7yrs</vt:lpstr>
      <vt:lpstr>Oversight Report Summary 2024</vt:lpstr>
      <vt:lpstr>Inflation Rate</vt:lpstr>
      <vt:lpstr>Audited AFS 14yrs</vt:lpstr>
      <vt:lpstr>Combined 7yrs</vt:lpstr>
      <vt:lpstr>Finance 7yrs</vt:lpstr>
      <vt:lpstr>Employment 5yrs</vt:lpstr>
      <vt:lpstr>Services 5yrs</vt:lpstr>
      <vt:lpstr>Links</vt:lpstr>
      <vt:lpstr>Capex Analysis 21-22</vt:lpstr>
      <vt:lpstr>CoJ Dept'l Finance Report 2023</vt:lpstr>
      <vt:lpstr>Unauthorised Expenditure by Dep</vt:lpstr>
      <vt:lpstr>Unauthorised Expenditure by Typ</vt:lpstr>
      <vt:lpstr>'AFS Summary &amp; Charts 15yrs'!Print_Area</vt:lpstr>
      <vt:lpstr>'Audited AFS 14yrs'!Print_Area</vt:lpstr>
      <vt:lpstr>'Capex Analysis 21-22'!Print_Area</vt:lpstr>
      <vt:lpstr>'Inflation Rate'!Print_Area</vt:lpstr>
      <vt:lpstr>'Oversight Report Summary 2024'!Print_Area</vt:lpstr>
      <vt:lpstr>'Tables &amp; Charts 7yrs'!Print_Area</vt:lpstr>
      <vt:lpstr>'Combined 7yrs'!Print_Titles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Hobson</dc:creator>
  <cp:lastModifiedBy>Jonathan van Beek</cp:lastModifiedBy>
  <cp:lastPrinted>2025-05-30T14:04:04Z</cp:lastPrinted>
  <dcterms:created xsi:type="dcterms:W3CDTF">2023-09-23T23:01:36Z</dcterms:created>
  <dcterms:modified xsi:type="dcterms:W3CDTF">2025-06-10T09:06:18Z</dcterms:modified>
</cp:coreProperties>
</file>