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hfltd.sharepoint.com/sites/Finance2/Shared Documents/Treasury/Working/2021/12 December 2021/Perfomance Reports/Urban Ubomi/"/>
    </mc:Choice>
  </mc:AlternateContent>
  <xr:revisionPtr revIDLastSave="2" documentId="8_{A4C6971E-2922-4FB8-A113-A300051991E5}" xr6:coauthVersionLast="47" xr6:coauthVersionMax="47" xr10:uidLastSave="{09CBC93A-7A65-44DB-8D55-6DBD3163E56C}"/>
  <bookViews>
    <workbookView xWindow="-108" yWindow="-108" windowWidth="23256" windowHeight="12576" xr2:uid="{77D23FE1-C54B-4B05-AA36-682448C690DF}"/>
  </bookViews>
  <sheets>
    <sheet name="Summary Graphs" sheetId="5" r:id="rId1"/>
    <sheet name="Combined" sheetId="3" r:id="rId2"/>
    <sheet name="Existing" sheetId="6" r:id="rId3"/>
  </sheets>
  <definedNames>
    <definedName name="_xlnm._FilterDatabase" localSheetId="1" hidden="1">Combined!$A$2:$Z$191</definedName>
    <definedName name="_xlnm._FilterDatabase" localSheetId="2" hidden="1">Existing!$A$2:$Z$123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" i="6" l="1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3" i="6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3" i="3"/>
  <c r="AB113" i="6" l="1"/>
  <c r="R113" i="6"/>
  <c r="E113" i="6"/>
  <c r="AB112" i="6"/>
  <c r="X112" i="6"/>
  <c r="R112" i="6"/>
  <c r="Y112" i="6"/>
  <c r="E112" i="6"/>
  <c r="AB111" i="6"/>
  <c r="R111" i="6"/>
  <c r="X111" i="6"/>
  <c r="T111" i="6"/>
  <c r="F111" i="6" s="1"/>
  <c r="Y111" i="6"/>
  <c r="E111" i="6"/>
  <c r="AB110" i="6"/>
  <c r="X110" i="6"/>
  <c r="Z110" i="6"/>
  <c r="Y110" i="6"/>
  <c r="E110" i="6"/>
  <c r="AB109" i="6"/>
  <c r="Z109" i="6"/>
  <c r="T109" i="6"/>
  <c r="F109" i="6" s="1"/>
  <c r="R109" i="6"/>
  <c r="Y109" i="6"/>
  <c r="E109" i="6"/>
  <c r="AB108" i="6"/>
  <c r="X108" i="6"/>
  <c r="Y108" i="6"/>
  <c r="E108" i="6"/>
  <c r="AB107" i="6"/>
  <c r="R107" i="6"/>
  <c r="X107" i="6"/>
  <c r="T107" i="6"/>
  <c r="F107" i="6" s="1"/>
  <c r="Y107" i="6"/>
  <c r="E107" i="6"/>
  <c r="AB106" i="6"/>
  <c r="R106" i="6"/>
  <c r="T106" i="6"/>
  <c r="F106" i="6" s="1"/>
  <c r="Y106" i="6"/>
  <c r="E106" i="6"/>
  <c r="AB105" i="6"/>
  <c r="R105" i="6"/>
  <c r="Y105" i="6"/>
  <c r="E105" i="6"/>
  <c r="AB104" i="6"/>
  <c r="E104" i="6"/>
  <c r="AB103" i="6"/>
  <c r="T103" i="6"/>
  <c r="F103" i="6" s="1"/>
  <c r="E103" i="6"/>
  <c r="AB102" i="6"/>
  <c r="Z102" i="6"/>
  <c r="T102" i="6"/>
  <c r="F102" i="6" s="1"/>
  <c r="X102" i="6"/>
  <c r="Y102" i="6"/>
  <c r="E102" i="6"/>
  <c r="AB101" i="6"/>
  <c r="E101" i="6"/>
  <c r="AB100" i="6"/>
  <c r="E100" i="6"/>
  <c r="AB99" i="6"/>
  <c r="R99" i="6"/>
  <c r="T99" i="6"/>
  <c r="F99" i="6" s="1"/>
  <c r="E99" i="6"/>
  <c r="AB98" i="6"/>
  <c r="Z98" i="6"/>
  <c r="R98" i="6"/>
  <c r="Y98" i="6"/>
  <c r="E98" i="6"/>
  <c r="AB97" i="6"/>
  <c r="R97" i="6"/>
  <c r="Y97" i="6"/>
  <c r="E97" i="6"/>
  <c r="AB96" i="6"/>
  <c r="Y96" i="6"/>
  <c r="E96" i="6"/>
  <c r="AB95" i="6"/>
  <c r="X95" i="6"/>
  <c r="T95" i="6"/>
  <c r="F95" i="6" s="1"/>
  <c r="Y95" i="6"/>
  <c r="E95" i="6"/>
  <c r="AB94" i="6"/>
  <c r="R94" i="6"/>
  <c r="T94" i="6"/>
  <c r="F94" i="6" s="1"/>
  <c r="Y94" i="6"/>
  <c r="E94" i="6"/>
  <c r="AB93" i="6"/>
  <c r="Z93" i="6"/>
  <c r="E93" i="6"/>
  <c r="AB92" i="6"/>
  <c r="Y92" i="6"/>
  <c r="E92" i="6"/>
  <c r="AB91" i="6"/>
  <c r="X91" i="6"/>
  <c r="T91" i="6"/>
  <c r="F91" i="6" s="1"/>
  <c r="E91" i="6"/>
  <c r="AB90" i="6"/>
  <c r="R90" i="6"/>
  <c r="Z90" i="6"/>
  <c r="Y90" i="6"/>
  <c r="E90" i="6"/>
  <c r="AB89" i="6"/>
  <c r="R89" i="6"/>
  <c r="E89" i="6"/>
  <c r="AB88" i="6"/>
  <c r="R88" i="6"/>
  <c r="X88" i="6"/>
  <c r="T88" i="6"/>
  <c r="F88" i="6" s="1"/>
  <c r="Y88" i="6"/>
  <c r="E88" i="6"/>
  <c r="AB87" i="6"/>
  <c r="Z87" i="6"/>
  <c r="T87" i="6"/>
  <c r="F87" i="6" s="1"/>
  <c r="Y87" i="6"/>
  <c r="E87" i="6"/>
  <c r="AB86" i="6"/>
  <c r="E86" i="6"/>
  <c r="AB85" i="6"/>
  <c r="R85" i="6"/>
  <c r="Y85" i="6"/>
  <c r="E85" i="6"/>
  <c r="AB84" i="6"/>
  <c r="R84" i="6"/>
  <c r="T84" i="6"/>
  <c r="F84" i="6" s="1"/>
  <c r="E84" i="6"/>
  <c r="AB83" i="6"/>
  <c r="R83" i="6"/>
  <c r="Z83" i="6"/>
  <c r="E83" i="6"/>
  <c r="AB82" i="6"/>
  <c r="Z82" i="6"/>
  <c r="E82" i="6"/>
  <c r="AB81" i="6"/>
  <c r="R81" i="6"/>
  <c r="Y81" i="6"/>
  <c r="E81" i="6"/>
  <c r="AB80" i="6"/>
  <c r="X80" i="6"/>
  <c r="E80" i="6"/>
  <c r="AB79" i="6"/>
  <c r="E79" i="6"/>
  <c r="AB78" i="6"/>
  <c r="T78" i="6"/>
  <c r="F78" i="6" s="1"/>
  <c r="R78" i="6"/>
  <c r="Y78" i="6"/>
  <c r="E78" i="6"/>
  <c r="AB77" i="6"/>
  <c r="R77" i="6"/>
  <c r="E77" i="6"/>
  <c r="AB76" i="6"/>
  <c r="X76" i="6"/>
  <c r="T76" i="6"/>
  <c r="F76" i="6" s="1"/>
  <c r="E76" i="6"/>
  <c r="AB75" i="6"/>
  <c r="R75" i="6"/>
  <c r="Z75" i="6"/>
  <c r="E75" i="6"/>
  <c r="AB74" i="6"/>
  <c r="R74" i="6"/>
  <c r="Z74" i="6"/>
  <c r="Y74" i="6"/>
  <c r="E74" i="6"/>
  <c r="AB73" i="6"/>
  <c r="R73" i="6"/>
  <c r="E73" i="6"/>
  <c r="AB72" i="6"/>
  <c r="R72" i="6"/>
  <c r="X72" i="6"/>
  <c r="Z72" i="6"/>
  <c r="Y72" i="6"/>
  <c r="E72" i="6"/>
  <c r="AB71" i="6"/>
  <c r="T71" i="6"/>
  <c r="F71" i="6" s="1"/>
  <c r="R71" i="6"/>
  <c r="Z71" i="6"/>
  <c r="Y71" i="6"/>
  <c r="E71" i="6"/>
  <c r="AB70" i="6"/>
  <c r="T70" i="6"/>
  <c r="F70" i="6" s="1"/>
  <c r="E70" i="6"/>
  <c r="AB69" i="6"/>
  <c r="Y69" i="6"/>
  <c r="E69" i="6"/>
  <c r="AB68" i="6"/>
  <c r="Z68" i="6"/>
  <c r="X68" i="6"/>
  <c r="T68" i="6"/>
  <c r="F68" i="6" s="1"/>
  <c r="Y68" i="6"/>
  <c r="E68" i="6"/>
  <c r="AB67" i="6"/>
  <c r="R67" i="6"/>
  <c r="T67" i="6"/>
  <c r="F67" i="6" s="1"/>
  <c r="E67" i="6"/>
  <c r="AB66" i="6"/>
  <c r="Z66" i="6"/>
  <c r="E66" i="6"/>
  <c r="AB65" i="6"/>
  <c r="Y65" i="6"/>
  <c r="E65" i="6"/>
  <c r="AB64" i="6"/>
  <c r="Z64" i="6"/>
  <c r="R64" i="6"/>
  <c r="T64" i="6"/>
  <c r="F64" i="6" s="1"/>
  <c r="E64" i="6"/>
  <c r="AB63" i="6"/>
  <c r="Y63" i="6"/>
  <c r="E63" i="6"/>
  <c r="AB62" i="6"/>
  <c r="R62" i="6"/>
  <c r="X62" i="6"/>
  <c r="Y62" i="6"/>
  <c r="E62" i="6"/>
  <c r="AB61" i="6"/>
  <c r="R61" i="6"/>
  <c r="T61" i="6"/>
  <c r="F61" i="6" s="1"/>
  <c r="E61" i="6"/>
  <c r="AB60" i="6"/>
  <c r="R60" i="6"/>
  <c r="T60" i="6"/>
  <c r="F60" i="6" s="1"/>
  <c r="Y60" i="6"/>
  <c r="E60" i="6"/>
  <c r="AB59" i="6"/>
  <c r="Z59" i="6"/>
  <c r="E59" i="6"/>
  <c r="AB58" i="6"/>
  <c r="Z58" i="6"/>
  <c r="Y58" i="6"/>
  <c r="E58" i="6"/>
  <c r="AB57" i="6"/>
  <c r="T57" i="6"/>
  <c r="F57" i="6" s="1"/>
  <c r="X57" i="6"/>
  <c r="Y57" i="6"/>
  <c r="E57" i="6"/>
  <c r="AB56" i="6"/>
  <c r="Y56" i="6"/>
  <c r="R56" i="6"/>
  <c r="E56" i="6"/>
  <c r="AB55" i="6"/>
  <c r="T55" i="6"/>
  <c r="F55" i="6" s="1"/>
  <c r="R55" i="6"/>
  <c r="Z55" i="6"/>
  <c r="E55" i="6"/>
  <c r="AB54" i="6"/>
  <c r="R54" i="6"/>
  <c r="E54" i="6"/>
  <c r="AB53" i="6"/>
  <c r="Z53" i="6"/>
  <c r="E53" i="6"/>
  <c r="AB52" i="6"/>
  <c r="Z52" i="6"/>
  <c r="T52" i="6"/>
  <c r="F52" i="6" s="1"/>
  <c r="Y52" i="6"/>
  <c r="E52" i="6"/>
  <c r="AB51" i="6"/>
  <c r="X51" i="6"/>
  <c r="T51" i="6"/>
  <c r="F51" i="6" s="1"/>
  <c r="Z51" i="6"/>
  <c r="Y51" i="6"/>
  <c r="E51" i="6"/>
  <c r="AB50" i="6"/>
  <c r="Z50" i="6"/>
  <c r="Y50" i="6"/>
  <c r="E50" i="6"/>
  <c r="AB49" i="6"/>
  <c r="E49" i="6"/>
  <c r="AB48" i="6"/>
  <c r="R48" i="6"/>
  <c r="Z48" i="6"/>
  <c r="E48" i="6"/>
  <c r="AB47" i="6"/>
  <c r="Y47" i="6"/>
  <c r="E47" i="6"/>
  <c r="AB46" i="6"/>
  <c r="T46" i="6"/>
  <c r="F46" i="6" s="1"/>
  <c r="Y46" i="6"/>
  <c r="AB45" i="6"/>
  <c r="T45" i="6"/>
  <c r="F45" i="6" s="1"/>
  <c r="E45" i="6"/>
  <c r="AB44" i="6"/>
  <c r="Z44" i="6"/>
  <c r="X44" i="6"/>
  <c r="Y44" i="6"/>
  <c r="E44" i="6"/>
  <c r="AB43" i="6"/>
  <c r="T43" i="6"/>
  <c r="F43" i="6" s="1"/>
  <c r="Z43" i="6"/>
  <c r="E43" i="6"/>
  <c r="AB42" i="6"/>
  <c r="R42" i="6"/>
  <c r="Z42" i="6"/>
  <c r="E42" i="6"/>
  <c r="AB41" i="6"/>
  <c r="T41" i="6"/>
  <c r="F41" i="6" s="1"/>
  <c r="E41" i="6"/>
  <c r="AB40" i="6"/>
  <c r="T40" i="6"/>
  <c r="F40" i="6" s="1"/>
  <c r="E40" i="6"/>
  <c r="AB39" i="6"/>
  <c r="E39" i="6"/>
  <c r="AB38" i="6"/>
  <c r="T38" i="6"/>
  <c r="F38" i="6" s="1"/>
  <c r="Z38" i="6"/>
  <c r="E38" i="6"/>
  <c r="AB37" i="6"/>
  <c r="Y37" i="6"/>
  <c r="T37" i="6"/>
  <c r="F37" i="6" s="1"/>
  <c r="E37" i="6"/>
  <c r="AB36" i="6"/>
  <c r="Z36" i="6"/>
  <c r="E36" i="6"/>
  <c r="AB35" i="6"/>
  <c r="Z35" i="6"/>
  <c r="E35" i="6"/>
  <c r="AB34" i="6"/>
  <c r="E34" i="6"/>
  <c r="AB33" i="6"/>
  <c r="E33" i="6"/>
  <c r="AB32" i="6"/>
  <c r="E32" i="6"/>
  <c r="AB31" i="6"/>
  <c r="Y31" i="6"/>
  <c r="AB30" i="6"/>
  <c r="R30" i="6"/>
  <c r="T30" i="6"/>
  <c r="F30" i="6" s="1"/>
  <c r="E30" i="6"/>
  <c r="AB29" i="6"/>
  <c r="T29" i="6"/>
  <c r="F29" i="6" s="1"/>
  <c r="Z29" i="6"/>
  <c r="Y29" i="6"/>
  <c r="E29" i="6"/>
  <c r="AB28" i="6"/>
  <c r="Z28" i="6"/>
  <c r="E28" i="6"/>
  <c r="AB27" i="6"/>
  <c r="R27" i="6"/>
  <c r="Z27" i="6"/>
  <c r="E27" i="6"/>
  <c r="AB26" i="6"/>
  <c r="Y26" i="6"/>
  <c r="E26" i="6"/>
  <c r="AB25" i="6"/>
  <c r="Z25" i="6"/>
  <c r="R25" i="6"/>
  <c r="AB24" i="6"/>
  <c r="T24" i="6"/>
  <c r="F24" i="6" s="1"/>
  <c r="Z24" i="6"/>
  <c r="E24" i="6"/>
  <c r="AB23" i="6"/>
  <c r="X23" i="6"/>
  <c r="Z23" i="6"/>
  <c r="E23" i="6"/>
  <c r="AB22" i="6"/>
  <c r="T22" i="6"/>
  <c r="F22" i="6" s="1"/>
  <c r="E22" i="6"/>
  <c r="AB21" i="6"/>
  <c r="T21" i="6"/>
  <c r="F21" i="6" s="1"/>
  <c r="E21" i="6"/>
  <c r="AB20" i="6"/>
  <c r="R20" i="6"/>
  <c r="E20" i="6"/>
  <c r="AB19" i="6"/>
  <c r="R19" i="6"/>
  <c r="Z19" i="6"/>
  <c r="E19" i="6"/>
  <c r="AB18" i="6"/>
  <c r="X18" i="6"/>
  <c r="Y18" i="6"/>
  <c r="E18" i="6"/>
  <c r="AB17" i="6"/>
  <c r="R17" i="6"/>
  <c r="X17" i="6"/>
  <c r="Y17" i="6"/>
  <c r="E17" i="6"/>
  <c r="AB16" i="6"/>
  <c r="E16" i="6"/>
  <c r="AB15" i="6"/>
  <c r="Y15" i="6"/>
  <c r="Z15" i="6"/>
  <c r="E15" i="6"/>
  <c r="AB14" i="6"/>
  <c r="T14" i="6"/>
  <c r="F14" i="6" s="1"/>
  <c r="Y14" i="6"/>
  <c r="E14" i="6"/>
  <c r="AB13" i="6"/>
  <c r="E13" i="6"/>
  <c r="AB12" i="6"/>
  <c r="E12" i="6"/>
  <c r="AB11" i="6"/>
  <c r="Z11" i="6"/>
  <c r="Y11" i="6"/>
  <c r="E11" i="6"/>
  <c r="AB10" i="6"/>
  <c r="R10" i="6"/>
  <c r="E10" i="6"/>
  <c r="AB9" i="6"/>
  <c r="E9" i="6"/>
  <c r="AB8" i="6"/>
  <c r="Z8" i="6"/>
  <c r="E8" i="6"/>
  <c r="AB7" i="6"/>
  <c r="Y7" i="6"/>
  <c r="AB6" i="6"/>
  <c r="R6" i="6"/>
  <c r="Z6" i="6"/>
  <c r="E6" i="6"/>
  <c r="AB5" i="6"/>
  <c r="T5" i="6"/>
  <c r="F5" i="6" s="1"/>
  <c r="Z5" i="6"/>
  <c r="E5" i="6"/>
  <c r="AB4" i="6"/>
  <c r="Z4" i="6"/>
  <c r="Y4" i="6"/>
  <c r="E4" i="6"/>
  <c r="AB3" i="6"/>
  <c r="D12" i="5"/>
  <c r="E12" i="5"/>
  <c r="D23" i="5"/>
  <c r="E23" i="5"/>
  <c r="D32" i="5"/>
  <c r="E32" i="5"/>
  <c r="D44" i="5"/>
  <c r="E44" i="5"/>
  <c r="D58" i="5"/>
  <c r="E58" i="5"/>
  <c r="Y21" i="6" l="1"/>
  <c r="Z40" i="6"/>
  <c r="H161" i="6"/>
  <c r="Z14" i="6"/>
  <c r="R36" i="6"/>
  <c r="E7" i="6"/>
  <c r="X21" i="6"/>
  <c r="E25" i="6"/>
  <c r="E31" i="6"/>
  <c r="Y34" i="6"/>
  <c r="X43" i="6"/>
  <c r="E46" i="6"/>
  <c r="E3" i="6"/>
  <c r="X5" i="6"/>
  <c r="Z9" i="6"/>
  <c r="X46" i="6"/>
  <c r="R15" i="6"/>
  <c r="Z21" i="6"/>
  <c r="Z37" i="6"/>
  <c r="Z45" i="6"/>
  <c r="Y6" i="6"/>
  <c r="Y9" i="6"/>
  <c r="Y25" i="6"/>
  <c r="X4" i="6"/>
  <c r="T9" i="6"/>
  <c r="F9" i="6" s="1"/>
  <c r="Z17" i="6"/>
  <c r="Y23" i="6"/>
  <c r="X42" i="6"/>
  <c r="R7" i="6"/>
  <c r="X26" i="6"/>
  <c r="X32" i="6"/>
  <c r="Y45" i="6"/>
  <c r="T35" i="6"/>
  <c r="F35" i="6" s="1"/>
  <c r="Y13" i="6"/>
  <c r="R44" i="6"/>
  <c r="X60" i="6"/>
  <c r="T18" i="6"/>
  <c r="F18" i="6" s="1"/>
  <c r="Z18" i="6"/>
  <c r="Z10" i="6"/>
  <c r="T13" i="6"/>
  <c r="F13" i="6" s="1"/>
  <c r="X24" i="6"/>
  <c r="Y10" i="6"/>
  <c r="Z7" i="6"/>
  <c r="T3" i="6"/>
  <c r="F3" i="6" s="1"/>
  <c r="Z3" i="6"/>
  <c r="R4" i="6"/>
  <c r="Z16" i="6"/>
  <c r="T16" i="6"/>
  <c r="F16" i="6" s="1"/>
  <c r="X12" i="6"/>
  <c r="R12" i="6"/>
  <c r="Y20" i="6"/>
  <c r="Z56" i="6"/>
  <c r="T56" i="6"/>
  <c r="F56" i="6" s="1"/>
  <c r="R9" i="6"/>
  <c r="T6" i="6"/>
  <c r="F6" i="6" s="1"/>
  <c r="Z13" i="6"/>
  <c r="X22" i="6"/>
  <c r="R22" i="6"/>
  <c r="Z20" i="6"/>
  <c r="T26" i="6"/>
  <c r="F26" i="6" s="1"/>
  <c r="Z26" i="6"/>
  <c r="Z32" i="6"/>
  <c r="T32" i="6"/>
  <c r="F32" i="6" s="1"/>
  <c r="X3" i="6"/>
  <c r="R3" i="6"/>
  <c r="R11" i="6"/>
  <c r="Z12" i="6"/>
  <c r="R38" i="6"/>
  <c r="T39" i="6"/>
  <c r="F39" i="6" s="1"/>
  <c r="R45" i="6"/>
  <c r="Y55" i="6"/>
  <c r="X58" i="6"/>
  <c r="R69" i="6"/>
  <c r="Y73" i="6"/>
  <c r="Z76" i="6"/>
  <c r="Y77" i="6"/>
  <c r="T79" i="6"/>
  <c r="F79" i="6" s="1"/>
  <c r="T80" i="6"/>
  <c r="F80" i="6" s="1"/>
  <c r="Y82" i="6"/>
  <c r="Y84" i="6"/>
  <c r="T86" i="6"/>
  <c r="F86" i="6" s="1"/>
  <c r="Y89" i="6"/>
  <c r="Z94" i="6"/>
  <c r="Y99" i="6"/>
  <c r="T101" i="6"/>
  <c r="F101" i="6" s="1"/>
  <c r="Z103" i="6"/>
  <c r="X94" i="6"/>
  <c r="R95" i="6"/>
  <c r="R110" i="6"/>
  <c r="T97" i="6"/>
  <c r="F97" i="6" s="1"/>
  <c r="X100" i="6"/>
  <c r="X103" i="6"/>
  <c r="Z106" i="6"/>
  <c r="X54" i="6"/>
  <c r="R57" i="6"/>
  <c r="T58" i="6"/>
  <c r="F58" i="6" s="1"/>
  <c r="X65" i="6"/>
  <c r="R70" i="6"/>
  <c r="T72" i="6"/>
  <c r="F72" i="6" s="1"/>
  <c r="Y76" i="6"/>
  <c r="R76" i="6"/>
  <c r="Y83" i="6"/>
  <c r="R87" i="6"/>
  <c r="Z91" i="6"/>
  <c r="X92" i="6"/>
  <c r="Y100" i="6"/>
  <c r="R100" i="6"/>
  <c r="R102" i="6"/>
  <c r="Y103" i="6"/>
  <c r="R103" i="6"/>
  <c r="T105" i="6"/>
  <c r="F105" i="6" s="1"/>
  <c r="T110" i="6"/>
  <c r="F110" i="6" s="1"/>
  <c r="X52" i="6"/>
  <c r="Y54" i="6"/>
  <c r="X63" i="6"/>
  <c r="Z63" i="6"/>
  <c r="X64" i="6"/>
  <c r="R65" i="6"/>
  <c r="Y70" i="6"/>
  <c r="Z79" i="6"/>
  <c r="Z80" i="6"/>
  <c r="X81" i="6"/>
  <c r="T83" i="6"/>
  <c r="F83" i="6" s="1"/>
  <c r="X85" i="6"/>
  <c r="R92" i="6"/>
  <c r="X96" i="6"/>
  <c r="Z101" i="6"/>
  <c r="X14" i="6"/>
  <c r="R31" i="6"/>
  <c r="R35" i="6"/>
  <c r="T36" i="6"/>
  <c r="F36" i="6" s="1"/>
  <c r="X41" i="6"/>
  <c r="R47" i="6"/>
  <c r="X49" i="6"/>
  <c r="R13" i="6"/>
  <c r="R14" i="6"/>
  <c r="Y36" i="6"/>
  <c r="R41" i="6"/>
  <c r="T44" i="6"/>
  <c r="F44" i="6" s="1"/>
  <c r="R49" i="6"/>
  <c r="Y16" i="6"/>
  <c r="R28" i="6"/>
  <c r="X33" i="6"/>
  <c r="R37" i="6"/>
  <c r="Z39" i="6"/>
  <c r="R40" i="6"/>
  <c r="X6" i="6"/>
  <c r="X10" i="6"/>
  <c r="X15" i="6"/>
  <c r="R18" i="6"/>
  <c r="X20" i="6"/>
  <c r="R23" i="6"/>
  <c r="R26" i="6"/>
  <c r="Y28" i="6"/>
  <c r="Z30" i="6"/>
  <c r="R33" i="6"/>
  <c r="X39" i="6"/>
  <c r="Z84" i="6"/>
  <c r="Z111" i="6"/>
  <c r="Y48" i="6"/>
  <c r="R59" i="6"/>
  <c r="X66" i="6"/>
  <c r="R68" i="6"/>
  <c r="R79" i="6"/>
  <c r="Y80" i="6"/>
  <c r="R80" i="6"/>
  <c r="R86" i="6"/>
  <c r="Y91" i="6"/>
  <c r="R91" i="6"/>
  <c r="R93" i="6"/>
  <c r="Z95" i="6"/>
  <c r="R101" i="6"/>
  <c r="X104" i="6"/>
  <c r="Y113" i="6"/>
  <c r="Y39" i="6"/>
  <c r="R39" i="6"/>
  <c r="Y42" i="6"/>
  <c r="Y12" i="6"/>
  <c r="Z22" i="6"/>
  <c r="X25" i="6"/>
  <c r="X29" i="6"/>
  <c r="X30" i="6"/>
  <c r="Y32" i="6"/>
  <c r="R34" i="6"/>
  <c r="X36" i="6"/>
  <c r="R46" i="6"/>
  <c r="T48" i="6"/>
  <c r="F48" i="6" s="1"/>
  <c r="R51" i="6"/>
  <c r="X55" i="6"/>
  <c r="Y59" i="6"/>
  <c r="Z60" i="6"/>
  <c r="Y61" i="6"/>
  <c r="T63" i="6"/>
  <c r="F63" i="6" s="1"/>
  <c r="Y66" i="6"/>
  <c r="X73" i="6"/>
  <c r="T75" i="6"/>
  <c r="F75" i="6" s="1"/>
  <c r="Y79" i="6"/>
  <c r="R82" i="6"/>
  <c r="X84" i="6"/>
  <c r="Y86" i="6"/>
  <c r="Z88" i="6"/>
  <c r="X89" i="6"/>
  <c r="Y93" i="6"/>
  <c r="X97" i="6"/>
  <c r="X99" i="6"/>
  <c r="Y101" i="6"/>
  <c r="Y104" i="6"/>
  <c r="Z107" i="6"/>
  <c r="R108" i="6"/>
  <c r="T113" i="6"/>
  <c r="F113" i="6" s="1"/>
  <c r="H128" i="6"/>
  <c r="X28" i="6"/>
  <c r="T33" i="6"/>
  <c r="F33" i="6" s="1"/>
  <c r="T34" i="6"/>
  <c r="F34" i="6" s="1"/>
  <c r="Y49" i="6"/>
  <c r="R16" i="6"/>
  <c r="R5" i="6"/>
  <c r="X7" i="6"/>
  <c r="T12" i="6"/>
  <c r="F12" i="6" s="1"/>
  <c r="X19" i="6"/>
  <c r="R24" i="6"/>
  <c r="R29" i="6"/>
  <c r="R43" i="6"/>
  <c r="X45" i="6"/>
  <c r="T49" i="6"/>
  <c r="F49" i="6" s="1"/>
  <c r="Y5" i="6"/>
  <c r="R8" i="6"/>
  <c r="T11" i="6"/>
  <c r="F11" i="6" s="1"/>
  <c r="T17" i="6"/>
  <c r="F17" i="6" s="1"/>
  <c r="Y19" i="6"/>
  <c r="T20" i="6"/>
  <c r="F20" i="6" s="1"/>
  <c r="Y22" i="6"/>
  <c r="Y24" i="6"/>
  <c r="X27" i="6"/>
  <c r="X35" i="6"/>
  <c r="Y43" i="6"/>
  <c r="Z47" i="6"/>
  <c r="T47" i="6"/>
  <c r="F47" i="6" s="1"/>
  <c r="R50" i="6"/>
  <c r="X50" i="6"/>
  <c r="X9" i="6"/>
  <c r="X11" i="6"/>
  <c r="R21" i="6"/>
  <c r="X31" i="6"/>
  <c r="Y8" i="6"/>
  <c r="T15" i="6"/>
  <c r="F15" i="6" s="1"/>
  <c r="T19" i="6"/>
  <c r="F19" i="6" s="1"/>
  <c r="T25" i="6"/>
  <c r="F25" i="6" s="1"/>
  <c r="Y27" i="6"/>
  <c r="T28" i="6"/>
  <c r="F28" i="6" s="1"/>
  <c r="Y30" i="6"/>
  <c r="Z31" i="6"/>
  <c r="R32" i="6"/>
  <c r="Z33" i="6"/>
  <c r="X34" i="6"/>
  <c r="X37" i="6"/>
  <c r="X40" i="6"/>
  <c r="Z41" i="6"/>
  <c r="X53" i="6"/>
  <c r="R53" i="6"/>
  <c r="T4" i="6"/>
  <c r="F4" i="6" s="1"/>
  <c r="T8" i="6"/>
  <c r="F8" i="6" s="1"/>
  <c r="T23" i="6"/>
  <c r="F23" i="6" s="1"/>
  <c r="T27" i="6"/>
  <c r="F27" i="6" s="1"/>
  <c r="Y40" i="6"/>
  <c r="Z49" i="6"/>
  <c r="T31" i="6"/>
  <c r="F31" i="6" s="1"/>
  <c r="Y33" i="6"/>
  <c r="Z34" i="6"/>
  <c r="Y35" i="6"/>
  <c r="X38" i="6"/>
  <c r="X48" i="6"/>
  <c r="T50" i="6"/>
  <c r="F50" i="6" s="1"/>
  <c r="H164" i="6"/>
  <c r="H166" i="6"/>
  <c r="H163" i="6"/>
  <c r="H160" i="6"/>
  <c r="H165" i="6"/>
  <c r="H162" i="6"/>
  <c r="H186" i="6"/>
  <c r="H182" i="6"/>
  <c r="H178" i="6"/>
  <c r="H174" i="6"/>
  <c r="H189" i="6"/>
  <c r="H185" i="6"/>
  <c r="H181" i="6"/>
  <c r="H177" i="6"/>
  <c r="H173" i="6"/>
  <c r="H188" i="6"/>
  <c r="H184" i="6"/>
  <c r="H180" i="6"/>
  <c r="H176" i="6"/>
  <c r="H172" i="6"/>
  <c r="H187" i="6"/>
  <c r="H183" i="6"/>
  <c r="H179" i="6"/>
  <c r="H175" i="6"/>
  <c r="H171" i="6"/>
  <c r="X13" i="6"/>
  <c r="X16" i="6"/>
  <c r="Y38" i="6"/>
  <c r="Y41" i="6"/>
  <c r="T42" i="6"/>
  <c r="F42" i="6" s="1"/>
  <c r="Z46" i="6"/>
  <c r="X47" i="6"/>
  <c r="R52" i="6"/>
  <c r="Y53" i="6"/>
  <c r="T10" i="6"/>
  <c r="F10" i="6" s="1"/>
  <c r="Z57" i="6"/>
  <c r="R58" i="6"/>
  <c r="Z62" i="6"/>
  <c r="R63" i="6"/>
  <c r="H122" i="6"/>
  <c r="H121" i="6"/>
  <c r="X8" i="6"/>
  <c r="T7" i="6"/>
  <c r="F7" i="6" s="1"/>
  <c r="I123" i="6"/>
  <c r="D4" i="5" s="1"/>
  <c r="H119" i="6"/>
  <c r="Y3" i="6"/>
  <c r="T53" i="6"/>
  <c r="F53" i="6" s="1"/>
  <c r="Z54" i="6"/>
  <c r="X74" i="6"/>
  <c r="Y75" i="6"/>
  <c r="T59" i="6"/>
  <c r="F59" i="6" s="1"/>
  <c r="Y64" i="6"/>
  <c r="Y67" i="6"/>
  <c r="X69" i="6"/>
  <c r="T54" i="6"/>
  <c r="F54" i="6" s="1"/>
  <c r="T65" i="6"/>
  <c r="F65" i="6" s="1"/>
  <c r="X77" i="6"/>
  <c r="T62" i="6"/>
  <c r="F62" i="6" s="1"/>
  <c r="T73" i="6"/>
  <c r="F73" i="6" s="1"/>
  <c r="Z73" i="6"/>
  <c r="X56" i="6"/>
  <c r="R66" i="6"/>
  <c r="X61" i="6"/>
  <c r="Z65" i="6"/>
  <c r="X59" i="6"/>
  <c r="Z61" i="6"/>
  <c r="X67" i="6"/>
  <c r="Z69" i="6"/>
  <c r="X75" i="6"/>
  <c r="Z77" i="6"/>
  <c r="X83" i="6"/>
  <c r="Z85" i="6"/>
  <c r="T90" i="6"/>
  <c r="F90" i="6" s="1"/>
  <c r="R96" i="6"/>
  <c r="Z96" i="6"/>
  <c r="T98" i="6"/>
  <c r="F98" i="6" s="1"/>
  <c r="R104" i="6"/>
  <c r="Z104" i="6"/>
  <c r="Z112" i="6"/>
  <c r="T66" i="6"/>
  <c r="F66" i="6" s="1"/>
  <c r="X70" i="6"/>
  <c r="T74" i="6"/>
  <c r="F74" i="6" s="1"/>
  <c r="X78" i="6"/>
  <c r="T82" i="6"/>
  <c r="F82" i="6" s="1"/>
  <c r="X86" i="6"/>
  <c r="T93" i="6"/>
  <c r="F93" i="6" s="1"/>
  <c r="Z99" i="6"/>
  <c r="X105" i="6"/>
  <c r="X113" i="6"/>
  <c r="Z67" i="6"/>
  <c r="T69" i="6"/>
  <c r="F69" i="6" s="1"/>
  <c r="T77" i="6"/>
  <c r="F77" i="6" s="1"/>
  <c r="T85" i="6"/>
  <c r="F85" i="6" s="1"/>
  <c r="T96" i="6"/>
  <c r="F96" i="6" s="1"/>
  <c r="T104" i="6"/>
  <c r="F104" i="6" s="1"/>
  <c r="T112" i="6"/>
  <c r="F112" i="6" s="1"/>
  <c r="Z70" i="6"/>
  <c r="Z78" i="6"/>
  <c r="Z86" i="6"/>
  <c r="Z97" i="6"/>
  <c r="Z105" i="6"/>
  <c r="Z113" i="6"/>
  <c r="X71" i="6"/>
  <c r="X79" i="6"/>
  <c r="Z81" i="6"/>
  <c r="X87" i="6"/>
  <c r="Z89" i="6"/>
  <c r="X90" i="6"/>
  <c r="Z92" i="6"/>
  <c r="X98" i="6"/>
  <c r="Z100" i="6"/>
  <c r="X106" i="6"/>
  <c r="Z108" i="6"/>
  <c r="X82" i="6"/>
  <c r="X93" i="6"/>
  <c r="X101" i="6"/>
  <c r="X109" i="6"/>
  <c r="T81" i="6"/>
  <c r="F81" i="6" s="1"/>
  <c r="T89" i="6"/>
  <c r="F89" i="6" s="1"/>
  <c r="T92" i="6"/>
  <c r="F92" i="6" s="1"/>
  <c r="T100" i="6"/>
  <c r="F100" i="6" s="1"/>
  <c r="T108" i="6"/>
  <c r="F108" i="6" s="1"/>
  <c r="H151" i="6" l="1"/>
  <c r="D40" i="5"/>
  <c r="D39" i="5"/>
  <c r="D21" i="5"/>
  <c r="H123" i="6"/>
  <c r="I183" i="6" s="1"/>
  <c r="I180" i="6"/>
  <c r="H140" i="6"/>
  <c r="I140" i="6" s="1"/>
  <c r="D19" i="5" s="1"/>
  <c r="I181" i="6"/>
  <c r="H134" i="6"/>
  <c r="H143" i="6"/>
  <c r="I184" i="6"/>
  <c r="H147" i="6"/>
  <c r="I147" i="6" s="1"/>
  <c r="D28" i="5" s="1"/>
  <c r="I179" i="6" l="1"/>
  <c r="I173" i="6"/>
  <c r="I165" i="6"/>
  <c r="I182" i="6"/>
  <c r="I162" i="6"/>
  <c r="I185" i="6"/>
  <c r="I177" i="6"/>
  <c r="D60" i="5"/>
  <c r="I172" i="6"/>
  <c r="I175" i="6"/>
  <c r="H131" i="6" a="1"/>
  <c r="H131" i="6" s="1"/>
  <c r="I131" i="6" s="1"/>
  <c r="D8" i="5" s="1"/>
  <c r="I188" i="6"/>
  <c r="I151" i="6"/>
  <c r="D33" i="5" s="1"/>
  <c r="D61" i="5"/>
  <c r="D3" i="5"/>
  <c r="H130" i="6" a="1"/>
  <c r="H130" i="6" s="1"/>
  <c r="I130" i="6" s="1"/>
  <c r="D7" i="5" s="1"/>
  <c r="H152" i="6"/>
  <c r="I166" i="6"/>
  <c r="I171" i="6"/>
  <c r="I174" i="6"/>
  <c r="I160" i="6"/>
  <c r="J160" i="6" s="1"/>
  <c r="I187" i="6"/>
  <c r="I164" i="6"/>
  <c r="I163" i="6"/>
  <c r="H129" i="6" a="1"/>
  <c r="H129" i="6" s="1"/>
  <c r="I129" i="6" s="1"/>
  <c r="D6" i="5" s="1"/>
  <c r="H144" i="6"/>
  <c r="I143" i="6"/>
  <c r="D24" i="5" s="1"/>
  <c r="I178" i="6"/>
  <c r="I189" i="6"/>
  <c r="D63" i="5" s="1"/>
  <c r="I134" i="6"/>
  <c r="D13" i="5" s="1"/>
  <c r="H135" i="6"/>
  <c r="I128" i="6"/>
  <c r="D5" i="5" s="1"/>
  <c r="I186" i="6"/>
  <c r="D62" i="5" s="1"/>
  <c r="I161" i="6"/>
  <c r="I176" i="6"/>
  <c r="H153" i="6" l="1"/>
  <c r="I153" i="6" s="1"/>
  <c r="D35" i="5" s="1"/>
  <c r="D59" i="5"/>
  <c r="I191" i="6"/>
  <c r="I152" i="6"/>
  <c r="D34" i="5" s="1"/>
  <c r="J161" i="6"/>
  <c r="J166" i="6"/>
  <c r="D49" i="5" s="1"/>
  <c r="I167" i="6"/>
  <c r="I135" i="6"/>
  <c r="D14" i="5" s="1"/>
  <c r="H136" i="6"/>
  <c r="I136" i="6" s="1"/>
  <c r="D15" i="5" s="1"/>
  <c r="J164" i="6"/>
  <c r="D47" i="5" s="1"/>
  <c r="J162" i="6"/>
  <c r="D45" i="5" s="1"/>
  <c r="J165" i="6"/>
  <c r="D48" i="5" s="1"/>
  <c r="J163" i="6"/>
  <c r="D46" i="5" s="1"/>
  <c r="I144" i="6"/>
  <c r="D25" i="5" s="1"/>
  <c r="H145" i="6"/>
  <c r="I145" i="6" s="1"/>
  <c r="D26" i="5" s="1"/>
  <c r="H154" i="6" l="1"/>
  <c r="I154" i="6" s="1"/>
  <c r="D36" i="5" s="1"/>
  <c r="H137" i="6"/>
  <c r="I137" i="6" s="1"/>
  <c r="D16" i="5" s="1"/>
  <c r="H146" i="6"/>
  <c r="I146" i="6" s="1"/>
  <c r="H155" i="6" l="1"/>
  <c r="I155" i="6" s="1"/>
  <c r="D37" i="5" s="1"/>
  <c r="I148" i="6"/>
  <c r="D27" i="5"/>
  <c r="H138" i="6"/>
  <c r="I156" i="6" l="1"/>
  <c r="I138" i="6"/>
  <c r="D17" i="5" s="1"/>
  <c r="H139" i="6"/>
  <c r="I139" i="6" s="1"/>
  <c r="I141" i="6" l="1"/>
  <c r="D18" i="5"/>
  <c r="D20" i="5" s="1"/>
  <c r="AB179" i="3" l="1"/>
  <c r="Y179" i="3"/>
  <c r="E179" i="3"/>
  <c r="AB178" i="3"/>
  <c r="AB177" i="3"/>
  <c r="Y177" i="3"/>
  <c r="E177" i="3" l="1"/>
  <c r="E178" i="3"/>
  <c r="R178" i="3"/>
  <c r="X177" i="3"/>
  <c r="X179" i="3"/>
  <c r="X178" i="3"/>
  <c r="Y178" i="3"/>
  <c r="R179" i="3"/>
  <c r="R177" i="3"/>
  <c r="Z177" i="3"/>
  <c r="T177" i="3"/>
  <c r="F177" i="3" s="1"/>
  <c r="Z178" i="3"/>
  <c r="T178" i="3"/>
  <c r="F178" i="3" s="1"/>
  <c r="Z179" i="3"/>
  <c r="T179" i="3"/>
  <c r="F179" i="3" s="1"/>
  <c r="Z185" i="3" l="1"/>
  <c r="Y185" i="3"/>
  <c r="AB185" i="3"/>
  <c r="AB186" i="3"/>
  <c r="E186" i="3"/>
  <c r="AB184" i="3"/>
  <c r="E184" i="3"/>
  <c r="AB183" i="3"/>
  <c r="AB182" i="3"/>
  <c r="AB181" i="3"/>
  <c r="Z181" i="3"/>
  <c r="AB180" i="3"/>
  <c r="Z180" i="3"/>
  <c r="AB176" i="3"/>
  <c r="Z176" i="3"/>
  <c r="AB175" i="3"/>
  <c r="AB174" i="3"/>
  <c r="Z174" i="3"/>
  <c r="AB173" i="3"/>
  <c r="X173" i="3"/>
  <c r="Z173" i="3"/>
  <c r="E173" i="3"/>
  <c r="AB172" i="3"/>
  <c r="E172" i="3"/>
  <c r="AB171" i="3"/>
  <c r="Z171" i="3"/>
  <c r="E171" i="3"/>
  <c r="AB170" i="3"/>
  <c r="Z170" i="3"/>
  <c r="E170" i="3"/>
  <c r="AB169" i="3"/>
  <c r="Z169" i="3"/>
  <c r="E169" i="3"/>
  <c r="AB168" i="3"/>
  <c r="E168" i="3"/>
  <c r="AB167" i="3"/>
  <c r="E167" i="3"/>
  <c r="AB166" i="3"/>
  <c r="E166" i="3"/>
  <c r="AB165" i="3"/>
  <c r="E165" i="3"/>
  <c r="AB164" i="3"/>
  <c r="E164" i="3"/>
  <c r="AB163" i="3"/>
  <c r="E163" i="3"/>
  <c r="AB162" i="3"/>
  <c r="E162" i="3"/>
  <c r="AB161" i="3"/>
  <c r="Z161" i="3"/>
  <c r="E161" i="3"/>
  <c r="AB160" i="3"/>
  <c r="E160" i="3"/>
  <c r="AB159" i="3"/>
  <c r="AB158" i="3"/>
  <c r="Z158" i="3"/>
  <c r="AB157" i="3"/>
  <c r="T157" i="3"/>
  <c r="F157" i="3" s="1"/>
  <c r="AB156" i="3"/>
  <c r="AB155" i="3"/>
  <c r="AB154" i="3"/>
  <c r="Z154" i="3"/>
  <c r="AB153" i="3"/>
  <c r="T153" i="3"/>
  <c r="F153" i="3" s="1"/>
  <c r="AB152" i="3"/>
  <c r="AB151" i="3"/>
  <c r="Z151" i="3"/>
  <c r="AB150" i="3"/>
  <c r="Z150" i="3"/>
  <c r="AB149" i="3"/>
  <c r="AB148" i="3"/>
  <c r="AB147" i="3"/>
  <c r="Z147" i="3"/>
  <c r="AB146" i="3"/>
  <c r="AB145" i="3"/>
  <c r="AB144" i="3"/>
  <c r="AB143" i="3"/>
  <c r="AB142" i="3"/>
  <c r="AB141" i="3"/>
  <c r="T141" i="3"/>
  <c r="F141" i="3" s="1"/>
  <c r="AB140" i="3"/>
  <c r="AB139" i="3"/>
  <c r="AB138" i="3"/>
  <c r="X138" i="3"/>
  <c r="R138" i="3"/>
  <c r="AB137" i="3"/>
  <c r="AB136" i="3"/>
  <c r="AB135" i="3"/>
  <c r="Z135" i="3"/>
  <c r="T135" i="3"/>
  <c r="F135" i="3" s="1"/>
  <c r="E135" i="3"/>
  <c r="AB134" i="3"/>
  <c r="Z134" i="3"/>
  <c r="E134" i="3"/>
  <c r="AB133" i="3"/>
  <c r="Z133" i="3"/>
  <c r="E133" i="3"/>
  <c r="AB132" i="3"/>
  <c r="Z132" i="3"/>
  <c r="E132" i="3"/>
  <c r="AB131" i="3"/>
  <c r="Z131" i="3"/>
  <c r="E131" i="3"/>
  <c r="AB130" i="3"/>
  <c r="Z130" i="3"/>
  <c r="E130" i="3"/>
  <c r="AB129" i="3"/>
  <c r="Z129" i="3"/>
  <c r="E129" i="3"/>
  <c r="AB128" i="3"/>
  <c r="Z128" i="3"/>
  <c r="E128" i="3"/>
  <c r="AB127" i="3"/>
  <c r="Z127" i="3"/>
  <c r="E127" i="3"/>
  <c r="AB126" i="3"/>
  <c r="E126" i="3"/>
  <c r="AB125" i="3"/>
  <c r="Z125" i="3"/>
  <c r="E125" i="3"/>
  <c r="AB124" i="3"/>
  <c r="Z124" i="3"/>
  <c r="E124" i="3"/>
  <c r="AB123" i="3"/>
  <c r="Z123" i="3"/>
  <c r="E123" i="3"/>
  <c r="AB122" i="3"/>
  <c r="T122" i="3"/>
  <c r="F122" i="3" s="1"/>
  <c r="E122" i="3"/>
  <c r="AB121" i="3"/>
  <c r="Z121" i="3"/>
  <c r="E121" i="3"/>
  <c r="AB120" i="3"/>
  <c r="Z120" i="3"/>
  <c r="E120" i="3"/>
  <c r="AB119" i="3"/>
  <c r="Z119" i="3"/>
  <c r="E119" i="3"/>
  <c r="AB118" i="3"/>
  <c r="Z118" i="3"/>
  <c r="E118" i="3"/>
  <c r="AB117" i="3"/>
  <c r="Z117" i="3"/>
  <c r="T117" i="3"/>
  <c r="F117" i="3" s="1"/>
  <c r="AB116" i="3"/>
  <c r="AB115" i="3"/>
  <c r="AB114" i="3"/>
  <c r="T114" i="3"/>
  <c r="F114" i="3" s="1"/>
  <c r="AB113" i="3"/>
  <c r="Y113" i="3"/>
  <c r="E113" i="3"/>
  <c r="AB112" i="3"/>
  <c r="Z112" i="3"/>
  <c r="E112" i="3"/>
  <c r="AB111" i="3"/>
  <c r="Z111" i="3"/>
  <c r="E111" i="3"/>
  <c r="AB110" i="3"/>
  <c r="E110" i="3"/>
  <c r="AB109" i="3"/>
  <c r="E109" i="3"/>
  <c r="AB108" i="3"/>
  <c r="Z108" i="3"/>
  <c r="AB107" i="3"/>
  <c r="AB106" i="3"/>
  <c r="AB105" i="3"/>
  <c r="Z105" i="3"/>
  <c r="E105" i="3"/>
  <c r="AB104" i="3"/>
  <c r="E104" i="3"/>
  <c r="AB103" i="3"/>
  <c r="Z103" i="3"/>
  <c r="E103" i="3"/>
  <c r="AB102" i="3"/>
  <c r="Z102" i="3"/>
  <c r="E102" i="3"/>
  <c r="AB101" i="3"/>
  <c r="E101" i="3"/>
  <c r="AB100" i="3"/>
  <c r="Z100" i="3"/>
  <c r="AB99" i="3"/>
  <c r="T99" i="3"/>
  <c r="F99" i="3" s="1"/>
  <c r="AB98" i="3"/>
  <c r="Z98" i="3"/>
  <c r="AB97" i="3"/>
  <c r="E97" i="3"/>
  <c r="AB96" i="3"/>
  <c r="E96" i="3"/>
  <c r="AB95" i="3"/>
  <c r="T95" i="3"/>
  <c r="F95" i="3" s="1"/>
  <c r="E95" i="3"/>
  <c r="AB94" i="3"/>
  <c r="T94" i="3"/>
  <c r="F94" i="3" s="1"/>
  <c r="E94" i="3"/>
  <c r="AB93" i="3"/>
  <c r="E93" i="3"/>
  <c r="AB92" i="3"/>
  <c r="AB91" i="3"/>
  <c r="Z91" i="3"/>
  <c r="Y91" i="3"/>
  <c r="AB90" i="3"/>
  <c r="R90" i="3"/>
  <c r="AB89" i="3"/>
  <c r="AB88" i="3"/>
  <c r="E88" i="3"/>
  <c r="AB87" i="3"/>
  <c r="Z87" i="3"/>
  <c r="E87" i="3"/>
  <c r="AB86" i="3"/>
  <c r="E86" i="3"/>
  <c r="AB85" i="3"/>
  <c r="Y85" i="3"/>
  <c r="E85" i="3"/>
  <c r="AB84" i="3"/>
  <c r="E84" i="3"/>
  <c r="AB83" i="3"/>
  <c r="Z83" i="3"/>
  <c r="AB82" i="3"/>
  <c r="Y82" i="3"/>
  <c r="AB81" i="3"/>
  <c r="AB80" i="3"/>
  <c r="E80" i="3"/>
  <c r="AB79" i="3"/>
  <c r="E79" i="3"/>
  <c r="AB78" i="3"/>
  <c r="E78" i="3"/>
  <c r="AB77" i="3"/>
  <c r="X77" i="3"/>
  <c r="E77" i="3"/>
  <c r="AB76" i="3"/>
  <c r="E76" i="3"/>
  <c r="AB75" i="3"/>
  <c r="Y75" i="3"/>
  <c r="AB74" i="3"/>
  <c r="AB73" i="3"/>
  <c r="AB72" i="3"/>
  <c r="E72" i="3"/>
  <c r="AB71" i="3"/>
  <c r="E71" i="3"/>
  <c r="AB70" i="3"/>
  <c r="E70" i="3"/>
  <c r="AB69" i="3"/>
  <c r="Y69" i="3"/>
  <c r="E69" i="3"/>
  <c r="AB68" i="3"/>
  <c r="T68" i="3"/>
  <c r="F68" i="3" s="1"/>
  <c r="E68" i="3"/>
  <c r="AB67" i="3"/>
  <c r="AB66" i="3"/>
  <c r="AB65" i="3"/>
  <c r="AB64" i="3"/>
  <c r="T64" i="3"/>
  <c r="F64" i="3" s="1"/>
  <c r="E64" i="3"/>
  <c r="AB63" i="3"/>
  <c r="E63" i="3"/>
  <c r="AB62" i="3"/>
  <c r="E62" i="3"/>
  <c r="AB61" i="3"/>
  <c r="Z61" i="3"/>
  <c r="E61" i="3"/>
  <c r="AB60" i="3"/>
  <c r="E60" i="3"/>
  <c r="AB59" i="3"/>
  <c r="AB58" i="3"/>
  <c r="AB57" i="3"/>
  <c r="Z57" i="3"/>
  <c r="AB56" i="3"/>
  <c r="E56" i="3"/>
  <c r="AB55" i="3"/>
  <c r="Z55" i="3"/>
  <c r="E55" i="3"/>
  <c r="AB54" i="3"/>
  <c r="E54" i="3"/>
  <c r="AB53" i="3"/>
  <c r="Z53" i="3"/>
  <c r="E53" i="3"/>
  <c r="AB52" i="3"/>
  <c r="Z52" i="3"/>
  <c r="E52" i="3"/>
  <c r="AB51" i="3"/>
  <c r="Z51" i="3"/>
  <c r="AB50" i="3"/>
  <c r="AB49" i="3"/>
  <c r="Z49" i="3"/>
  <c r="AB48" i="3"/>
  <c r="Z48" i="3"/>
  <c r="E48" i="3"/>
  <c r="AB47" i="3"/>
  <c r="E47" i="3"/>
  <c r="AB46" i="3"/>
  <c r="Z46" i="3"/>
  <c r="E46" i="3"/>
  <c r="AB45" i="3"/>
  <c r="T45" i="3"/>
  <c r="F45" i="3" s="1"/>
  <c r="E45" i="3"/>
  <c r="AB44" i="3"/>
  <c r="Z44" i="3"/>
  <c r="E44" i="3"/>
  <c r="AB43" i="3"/>
  <c r="AB42" i="3"/>
  <c r="AB41" i="3"/>
  <c r="AB40" i="3"/>
  <c r="E40" i="3"/>
  <c r="AB39" i="3"/>
  <c r="Z39" i="3"/>
  <c r="E39" i="3"/>
  <c r="AB38" i="3"/>
  <c r="E38" i="3"/>
  <c r="AB37" i="3"/>
  <c r="E37" i="3"/>
  <c r="AB36" i="3"/>
  <c r="T36" i="3"/>
  <c r="F36" i="3" s="1"/>
  <c r="E36" i="3"/>
  <c r="AB35" i="3"/>
  <c r="AB34" i="3"/>
  <c r="AB33" i="3"/>
  <c r="AB32" i="3"/>
  <c r="Z32" i="3"/>
  <c r="E32" i="3"/>
  <c r="AB31" i="3"/>
  <c r="E31" i="3"/>
  <c r="AB30" i="3"/>
  <c r="Z30" i="3"/>
  <c r="E30" i="3"/>
  <c r="AB29" i="3"/>
  <c r="E29" i="3"/>
  <c r="AB28" i="3"/>
  <c r="Z28" i="3"/>
  <c r="E28" i="3"/>
  <c r="AB27" i="3"/>
  <c r="AB26" i="3"/>
  <c r="Z26" i="3"/>
  <c r="AB25" i="3"/>
  <c r="AB24" i="3"/>
  <c r="Z24" i="3"/>
  <c r="E24" i="3"/>
  <c r="AB23" i="3"/>
  <c r="Z23" i="3"/>
  <c r="E23" i="3"/>
  <c r="AB22" i="3"/>
  <c r="Z22" i="3"/>
  <c r="E22" i="3"/>
  <c r="AB21" i="3"/>
  <c r="E21" i="3"/>
  <c r="AB20" i="3"/>
  <c r="Z20" i="3"/>
  <c r="E20" i="3"/>
  <c r="AB19" i="3"/>
  <c r="Z19" i="3"/>
  <c r="AB18" i="3"/>
  <c r="E18" i="3"/>
  <c r="AB17" i="3"/>
  <c r="AB16" i="3"/>
  <c r="Z16" i="3"/>
  <c r="E16" i="3"/>
  <c r="AB15" i="3"/>
  <c r="Z15" i="3"/>
  <c r="E15" i="3"/>
  <c r="AB14" i="3"/>
  <c r="E14" i="3"/>
  <c r="AB13" i="3"/>
  <c r="E13" i="3"/>
  <c r="AB12" i="3"/>
  <c r="T12" i="3"/>
  <c r="F12" i="3" s="1"/>
  <c r="E12" i="3"/>
  <c r="AB11" i="3"/>
  <c r="Z11" i="3"/>
  <c r="AB10" i="3"/>
  <c r="E10" i="3"/>
  <c r="AB9" i="3"/>
  <c r="AB8" i="3"/>
  <c r="Z8" i="3"/>
  <c r="Y8" i="3"/>
  <c r="E8" i="3"/>
  <c r="AB7" i="3"/>
  <c r="Z7" i="3"/>
  <c r="E7" i="3"/>
  <c r="AB6" i="3"/>
  <c r="Z6" i="3"/>
  <c r="E6" i="3"/>
  <c r="AB5" i="3"/>
  <c r="T5" i="3"/>
  <c r="F5" i="3" s="1"/>
  <c r="E5" i="3"/>
  <c r="AB4" i="3"/>
  <c r="Z4" i="3"/>
  <c r="E4" i="3"/>
  <c r="AB3" i="3"/>
  <c r="Z3" i="3"/>
  <c r="Y3" i="3"/>
  <c r="E9" i="3" l="1"/>
  <c r="E17" i="3"/>
  <c r="E25" i="3"/>
  <c r="E33" i="3"/>
  <c r="E41" i="3"/>
  <c r="E49" i="3"/>
  <c r="E57" i="3"/>
  <c r="E65" i="3"/>
  <c r="E73" i="3"/>
  <c r="E81" i="3"/>
  <c r="E89" i="3"/>
  <c r="E98" i="3"/>
  <c r="E106" i="3"/>
  <c r="E114" i="3"/>
  <c r="E115" i="3"/>
  <c r="E116" i="3"/>
  <c r="E117" i="3"/>
  <c r="E174" i="3"/>
  <c r="E175" i="3"/>
  <c r="E176" i="3"/>
  <c r="E180" i="3"/>
  <c r="E181" i="3"/>
  <c r="E182" i="3"/>
  <c r="E183" i="3"/>
  <c r="E26" i="3"/>
  <c r="E34" i="3"/>
  <c r="E42" i="3"/>
  <c r="E50" i="3"/>
  <c r="E58" i="3"/>
  <c r="E66" i="3"/>
  <c r="E74" i="3"/>
  <c r="E82" i="3"/>
  <c r="E90" i="3"/>
  <c r="E91" i="3"/>
  <c r="E99" i="3"/>
  <c r="E107" i="3"/>
  <c r="E3" i="3"/>
  <c r="E11" i="3"/>
  <c r="E19" i="3"/>
  <c r="E27" i="3"/>
  <c r="E35" i="3"/>
  <c r="E43" i="3"/>
  <c r="E51" i="3"/>
  <c r="E59" i="3"/>
  <c r="E67" i="3"/>
  <c r="E75" i="3"/>
  <c r="E83" i="3"/>
  <c r="E92" i="3"/>
  <c r="E100" i="3"/>
  <c r="E108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85" i="3"/>
  <c r="Y7" i="3"/>
  <c r="Y23" i="3"/>
  <c r="Y55" i="3"/>
  <c r="X9" i="3"/>
  <c r="Y15" i="3"/>
  <c r="Y67" i="3"/>
  <c r="Z184" i="3"/>
  <c r="Y97" i="3"/>
  <c r="Y22" i="3"/>
  <c r="Y16" i="3"/>
  <c r="Y98" i="3"/>
  <c r="Y60" i="3"/>
  <c r="Y76" i="3"/>
  <c r="Y18" i="3"/>
  <c r="T44" i="3"/>
  <c r="F44" i="3" s="1"/>
  <c r="Y72" i="3"/>
  <c r="Y93" i="3"/>
  <c r="Y64" i="3"/>
  <c r="Y116" i="3"/>
  <c r="Y86" i="3"/>
  <c r="Y17" i="3"/>
  <c r="Y33" i="3"/>
  <c r="Y63" i="3"/>
  <c r="Y34" i="3"/>
  <c r="Y27" i="3"/>
  <c r="Y70" i="3"/>
  <c r="Y5" i="3"/>
  <c r="Y14" i="3"/>
  <c r="Y96" i="3"/>
  <c r="Y21" i="3"/>
  <c r="Y99" i="3"/>
  <c r="Y121" i="3"/>
  <c r="Y11" i="3"/>
  <c r="Y68" i="3"/>
  <c r="Y92" i="3"/>
  <c r="Y107" i="3"/>
  <c r="Y136" i="3"/>
  <c r="Y154" i="3"/>
  <c r="Y175" i="3"/>
  <c r="Y176" i="3"/>
  <c r="Y181" i="3"/>
  <c r="Y183" i="3"/>
  <c r="X94" i="3"/>
  <c r="R97" i="3"/>
  <c r="R74" i="3"/>
  <c r="R82" i="3"/>
  <c r="Y88" i="3"/>
  <c r="Y95" i="3"/>
  <c r="Y103" i="3"/>
  <c r="Y111" i="3"/>
  <c r="Y158" i="3"/>
  <c r="Y159" i="3"/>
  <c r="Y164" i="3"/>
  <c r="Y168" i="3"/>
  <c r="Y170" i="3"/>
  <c r="X23" i="3"/>
  <c r="X68" i="3"/>
  <c r="Y50" i="3"/>
  <c r="Y4" i="3"/>
  <c r="Y90" i="3"/>
  <c r="Y74" i="3"/>
  <c r="Y115" i="3"/>
  <c r="X86" i="3"/>
  <c r="X149" i="3"/>
  <c r="R174" i="3"/>
  <c r="Y56" i="3"/>
  <c r="Y142" i="3"/>
  <c r="Y143" i="3"/>
  <c r="Y144" i="3"/>
  <c r="Y147" i="3"/>
  <c r="Y153" i="3"/>
  <c r="X185" i="3"/>
  <c r="X144" i="3"/>
  <c r="X76" i="3"/>
  <c r="X146" i="3"/>
  <c r="X105" i="3"/>
  <c r="X113" i="3"/>
  <c r="X153" i="3"/>
  <c r="R181" i="3"/>
  <c r="R116" i="3"/>
  <c r="X82" i="3"/>
  <c r="R29" i="3"/>
  <c r="X37" i="3"/>
  <c r="R81" i="3"/>
  <c r="R89" i="3"/>
  <c r="X73" i="3"/>
  <c r="X74" i="3"/>
  <c r="X119" i="3"/>
  <c r="X5" i="3"/>
  <c r="T16" i="3"/>
  <c r="F16" i="3" s="1"/>
  <c r="R23" i="3"/>
  <c r="R73" i="3"/>
  <c r="R78" i="3"/>
  <c r="R85" i="3"/>
  <c r="X92" i="3"/>
  <c r="R156" i="3"/>
  <c r="X157" i="3"/>
  <c r="X6" i="3"/>
  <c r="X13" i="3"/>
  <c r="X19" i="3"/>
  <c r="R38" i="3"/>
  <c r="X58" i="3"/>
  <c r="X106" i="3"/>
  <c r="R113" i="3"/>
  <c r="X141" i="3"/>
  <c r="X161" i="3"/>
  <c r="X164" i="3"/>
  <c r="T185" i="3"/>
  <c r="F185" i="3" s="1"/>
  <c r="R94" i="3"/>
  <c r="Y105" i="3"/>
  <c r="X107" i="3"/>
  <c r="X167" i="3"/>
  <c r="X170" i="3"/>
  <c r="X172" i="3"/>
  <c r="X175" i="3"/>
  <c r="R185" i="3"/>
  <c r="Y51" i="3"/>
  <c r="R40" i="3"/>
  <c r="Y45" i="3"/>
  <c r="R145" i="3"/>
  <c r="Y171" i="3"/>
  <c r="Y172" i="3"/>
  <c r="Z12" i="3"/>
  <c r="X27" i="3"/>
  <c r="Z5" i="3"/>
  <c r="Y151" i="3"/>
  <c r="R152" i="3"/>
  <c r="Y118" i="3"/>
  <c r="Y119" i="3"/>
  <c r="Y120" i="3"/>
  <c r="Y180" i="3"/>
  <c r="Y182" i="3"/>
  <c r="Y84" i="3"/>
  <c r="R25" i="3"/>
  <c r="Y6" i="3"/>
  <c r="X17" i="3"/>
  <c r="Y25" i="3"/>
  <c r="Y100" i="3"/>
  <c r="R14" i="3"/>
  <c r="Y41" i="3"/>
  <c r="Y48" i="3"/>
  <c r="X62" i="3"/>
  <c r="R93" i="3"/>
  <c r="Z99" i="3"/>
  <c r="R103" i="3"/>
  <c r="Y13" i="3"/>
  <c r="Y31" i="3"/>
  <c r="R33" i="3"/>
  <c r="X34" i="3"/>
  <c r="Z36" i="3"/>
  <c r="X44" i="3"/>
  <c r="X63" i="3"/>
  <c r="X71" i="3"/>
  <c r="X75" i="3"/>
  <c r="X115" i="3"/>
  <c r="Y122" i="3"/>
  <c r="Y145" i="3"/>
  <c r="Y152" i="3"/>
  <c r="R164" i="3"/>
  <c r="X186" i="3"/>
  <c r="X3" i="3"/>
  <c r="Y36" i="3"/>
  <c r="Y46" i="3"/>
  <c r="Y12" i="3"/>
  <c r="X35" i="3"/>
  <c r="Y43" i="3"/>
  <c r="X64" i="3"/>
  <c r="X72" i="3"/>
  <c r="Z95" i="3"/>
  <c r="Y108" i="3"/>
  <c r="X109" i="3"/>
  <c r="R110" i="3"/>
  <c r="X116" i="3"/>
  <c r="X137" i="3"/>
  <c r="X139" i="3"/>
  <c r="Y146" i="3"/>
  <c r="X166" i="3"/>
  <c r="X168" i="3"/>
  <c r="Y184" i="3"/>
  <c r="X90" i="3"/>
  <c r="Z122" i="3"/>
  <c r="X152" i="3"/>
  <c r="X29" i="3"/>
  <c r="Y137" i="3"/>
  <c r="R149" i="3"/>
  <c r="Y155" i="3"/>
  <c r="Y156" i="3"/>
  <c r="Y165" i="3"/>
  <c r="Y169" i="3"/>
  <c r="T173" i="3"/>
  <c r="F173" i="3" s="1"/>
  <c r="X174" i="3"/>
  <c r="Y80" i="3"/>
  <c r="R101" i="3"/>
  <c r="X103" i="3"/>
  <c r="R105" i="3"/>
  <c r="Y138" i="3"/>
  <c r="R144" i="3"/>
  <c r="Y148" i="3"/>
  <c r="R160" i="3"/>
  <c r="R21" i="3"/>
  <c r="R61" i="3"/>
  <c r="R77" i="3"/>
  <c r="X78" i="3"/>
  <c r="X61" i="3"/>
  <c r="X66" i="3"/>
  <c r="R66" i="3"/>
  <c r="T76" i="3"/>
  <c r="F76" i="3" s="1"/>
  <c r="Z80" i="3"/>
  <c r="T80" i="3"/>
  <c r="F80" i="3" s="1"/>
  <c r="T19" i="3"/>
  <c r="F19" i="3" s="1"/>
  <c r="X21" i="3"/>
  <c r="X11" i="3"/>
  <c r="R13" i="3"/>
  <c r="X14" i="3"/>
  <c r="Y19" i="3"/>
  <c r="X25" i="3"/>
  <c r="R27" i="3"/>
  <c r="X30" i="3"/>
  <c r="X31" i="3"/>
  <c r="R62" i="3"/>
  <c r="X69" i="3"/>
  <c r="R69" i="3"/>
  <c r="Z84" i="3"/>
  <c r="T84" i="3"/>
  <c r="F84" i="3" s="1"/>
  <c r="T24" i="3"/>
  <c r="F24" i="3" s="1"/>
  <c r="X33" i="3"/>
  <c r="Y35" i="3"/>
  <c r="X40" i="3"/>
  <c r="Z54" i="3"/>
  <c r="T8" i="3"/>
  <c r="F8" i="3" s="1"/>
  <c r="T3" i="3"/>
  <c r="F3" i="3" s="1"/>
  <c r="R10" i="3"/>
  <c r="T20" i="3"/>
  <c r="F20" i="3" s="1"/>
  <c r="T22" i="3"/>
  <c r="F22" i="3" s="1"/>
  <c r="T26" i="3"/>
  <c r="F26" i="3" s="1"/>
  <c r="T27" i="3"/>
  <c r="F27" i="3" s="1"/>
  <c r="Z27" i="3"/>
  <c r="X39" i="3"/>
  <c r="X43" i="3"/>
  <c r="Z47" i="3"/>
  <c r="Z50" i="3"/>
  <c r="T50" i="3"/>
  <c r="F50" i="3" s="1"/>
  <c r="T58" i="3"/>
  <c r="F58" i="3" s="1"/>
  <c r="T39" i="3"/>
  <c r="F39" i="3" s="1"/>
  <c r="X70" i="3"/>
  <c r="R70" i="3"/>
  <c r="X7" i="3"/>
  <c r="R9" i="3"/>
  <c r="X10" i="3"/>
  <c r="Y29" i="3"/>
  <c r="Y30" i="3"/>
  <c r="R31" i="3"/>
  <c r="T32" i="3"/>
  <c r="F32" i="3" s="1"/>
  <c r="T34" i="3"/>
  <c r="F34" i="3" s="1"/>
  <c r="R37" i="3"/>
  <c r="X38" i="3"/>
  <c r="R44" i="3"/>
  <c r="T46" i="3"/>
  <c r="F46" i="3" s="1"/>
  <c r="T66" i="3"/>
  <c r="F66" i="3" s="1"/>
  <c r="T73" i="3"/>
  <c r="F73" i="3" s="1"/>
  <c r="Y39" i="3"/>
  <c r="Y10" i="3"/>
  <c r="X4" i="3"/>
  <c r="R6" i="3"/>
  <c r="X15" i="3"/>
  <c r="R19" i="3"/>
  <c r="X22" i="3"/>
  <c r="X26" i="3"/>
  <c r="T28" i="3"/>
  <c r="F28" i="3" s="1"/>
  <c r="T30" i="3"/>
  <c r="F30" i="3" s="1"/>
  <c r="Y37" i="3"/>
  <c r="R43" i="3"/>
  <c r="Z56" i="3"/>
  <c r="Y38" i="3"/>
  <c r="Y40" i="3"/>
  <c r="Z41" i="3"/>
  <c r="Y42" i="3"/>
  <c r="Z42" i="3"/>
  <c r="Y44" i="3"/>
  <c r="Y61" i="3"/>
  <c r="Y62" i="3"/>
  <c r="Y65" i="3"/>
  <c r="T87" i="3"/>
  <c r="F87" i="3" s="1"/>
  <c r="X98" i="3"/>
  <c r="X102" i="3"/>
  <c r="X104" i="3"/>
  <c r="R106" i="3"/>
  <c r="R107" i="3"/>
  <c r="X112" i="3"/>
  <c r="X114" i="3"/>
  <c r="T140" i="3"/>
  <c r="F140" i="3" s="1"/>
  <c r="Y150" i="3"/>
  <c r="T161" i="3"/>
  <c r="F161" i="3" s="1"/>
  <c r="T170" i="3"/>
  <c r="F170" i="3" s="1"/>
  <c r="X176" i="3"/>
  <c r="X180" i="3"/>
  <c r="X181" i="3"/>
  <c r="Z183" i="3"/>
  <c r="X184" i="3"/>
  <c r="Y186" i="3"/>
  <c r="Z115" i="3"/>
  <c r="Z126" i="3"/>
  <c r="Y135" i="3"/>
  <c r="T137" i="3"/>
  <c r="F137" i="3" s="1"/>
  <c r="T162" i="3"/>
  <c r="F162" i="3" s="1"/>
  <c r="T182" i="3"/>
  <c r="F182" i="3" s="1"/>
  <c r="T183" i="3"/>
  <c r="F183" i="3" s="1"/>
  <c r="T41" i="3"/>
  <c r="F41" i="3" s="1"/>
  <c r="T42" i="3"/>
  <c r="F42" i="3" s="1"/>
  <c r="Z45" i="3"/>
  <c r="T49" i="3"/>
  <c r="F49" i="3" s="1"/>
  <c r="Y52" i="3"/>
  <c r="X54" i="3"/>
  <c r="Y59" i="3"/>
  <c r="T65" i="3"/>
  <c r="F65" i="3" s="1"/>
  <c r="X79" i="3"/>
  <c r="Y83" i="3"/>
  <c r="Y94" i="3"/>
  <c r="X99" i="3"/>
  <c r="Y104" i="3"/>
  <c r="T106" i="3"/>
  <c r="F106" i="3" s="1"/>
  <c r="T108" i="3"/>
  <c r="F108" i="3" s="1"/>
  <c r="X111" i="3"/>
  <c r="Y112" i="3"/>
  <c r="X143" i="3"/>
  <c r="T150" i="3"/>
  <c r="F150" i="3" s="1"/>
  <c r="R153" i="3"/>
  <c r="T158" i="3"/>
  <c r="F158" i="3" s="1"/>
  <c r="X165" i="3"/>
  <c r="Y166" i="3"/>
  <c r="Z166" i="3"/>
  <c r="T57" i="3"/>
  <c r="F57" i="3" s="1"/>
  <c r="Y58" i="3"/>
  <c r="T60" i="3"/>
  <c r="F60" i="3" s="1"/>
  <c r="Y81" i="3"/>
  <c r="X85" i="3"/>
  <c r="X93" i="3"/>
  <c r="T115" i="3"/>
  <c r="F115" i="3" s="1"/>
  <c r="T126" i="3"/>
  <c r="F126" i="3" s="1"/>
  <c r="X145" i="3"/>
  <c r="T147" i="3"/>
  <c r="F147" i="3" s="1"/>
  <c r="T151" i="3"/>
  <c r="F151" i="3" s="1"/>
  <c r="Z153" i="3"/>
  <c r="X155" i="3"/>
  <c r="Y167" i="3"/>
  <c r="Y174" i="3"/>
  <c r="Y47" i="3"/>
  <c r="T59" i="3"/>
  <c r="F59" i="3" s="1"/>
  <c r="Y73" i="3"/>
  <c r="R76" i="3"/>
  <c r="Y77" i="3"/>
  <c r="Y78" i="3"/>
  <c r="Y79" i="3"/>
  <c r="T83" i="3"/>
  <c r="F83" i="3" s="1"/>
  <c r="R86" i="3"/>
  <c r="X88" i="3"/>
  <c r="Y89" i="3"/>
  <c r="X89" i="3"/>
  <c r="Z94" i="3"/>
  <c r="X96" i="3"/>
  <c r="X97" i="3"/>
  <c r="X100" i="3"/>
  <c r="X101" i="3"/>
  <c r="X110" i="3"/>
  <c r="T112" i="3"/>
  <c r="F112" i="3" s="1"/>
  <c r="Y117" i="3"/>
  <c r="Y126" i="3"/>
  <c r="Y139" i="3"/>
  <c r="X140" i="3"/>
  <c r="X142" i="3"/>
  <c r="T166" i="3"/>
  <c r="F166" i="3" s="1"/>
  <c r="T176" i="3"/>
  <c r="F176" i="3" s="1"/>
  <c r="T184" i="3"/>
  <c r="F184" i="3" s="1"/>
  <c r="Z86" i="3"/>
  <c r="Z90" i="3"/>
  <c r="T98" i="3"/>
  <c r="F98" i="3" s="1"/>
  <c r="T102" i="3"/>
  <c r="F102" i="3" s="1"/>
  <c r="R139" i="3"/>
  <c r="Y141" i="3"/>
  <c r="Z155" i="3"/>
  <c r="X156" i="3"/>
  <c r="Y157" i="3"/>
  <c r="X162" i="3"/>
  <c r="X163" i="3"/>
  <c r="X169" i="3"/>
  <c r="X182" i="3"/>
  <c r="X183" i="3"/>
  <c r="T86" i="3"/>
  <c r="F86" i="3" s="1"/>
  <c r="Y87" i="3"/>
  <c r="T90" i="3"/>
  <c r="F90" i="3" s="1"/>
  <c r="X108" i="3"/>
  <c r="X135" i="3"/>
  <c r="Y140" i="3"/>
  <c r="R141" i="3"/>
  <c r="T143" i="3"/>
  <c r="F143" i="3" s="1"/>
  <c r="T154" i="3"/>
  <c r="F154" i="3" s="1"/>
  <c r="R157" i="3"/>
  <c r="X158" i="3"/>
  <c r="X159" i="3"/>
  <c r="Y160" i="3"/>
  <c r="X160" i="3"/>
  <c r="Y161" i="3"/>
  <c r="X171" i="3"/>
  <c r="Y173" i="3"/>
  <c r="Y9" i="3"/>
  <c r="X18" i="3"/>
  <c r="Y26" i="3"/>
  <c r="X60" i="3"/>
  <c r="R64" i="3"/>
  <c r="Y66" i="3"/>
  <c r="R68" i="3"/>
  <c r="Y71" i="3"/>
  <c r="T72" i="3"/>
  <c r="F72" i="3" s="1"/>
  <c r="T91" i="3"/>
  <c r="F91" i="3" s="1"/>
  <c r="Y101" i="3"/>
  <c r="Y106" i="3"/>
  <c r="Y109" i="3"/>
  <c r="X136" i="3"/>
  <c r="T139" i="3"/>
  <c r="F139" i="3" s="1"/>
  <c r="X148" i="3"/>
  <c r="Y149" i="3"/>
  <c r="T155" i="3"/>
  <c r="F155" i="3" s="1"/>
  <c r="Z157" i="3"/>
  <c r="Y162" i="3"/>
  <c r="Z162" i="3"/>
  <c r="Y163" i="3"/>
  <c r="Z182" i="3"/>
  <c r="H196" i="3"/>
  <c r="X20" i="3"/>
  <c r="R20" i="3"/>
  <c r="T11" i="3"/>
  <c r="F11" i="3" s="1"/>
  <c r="X12" i="3"/>
  <c r="R12" i="3"/>
  <c r="Z13" i="3"/>
  <c r="T13" i="3"/>
  <c r="F13" i="3" s="1"/>
  <c r="T15" i="3"/>
  <c r="F15" i="3" s="1"/>
  <c r="X16" i="3"/>
  <c r="R16" i="3"/>
  <c r="Y24" i="3"/>
  <c r="R26" i="3"/>
  <c r="Z34" i="3"/>
  <c r="R39" i="3"/>
  <c r="X51" i="3"/>
  <c r="Y57" i="3"/>
  <c r="R58" i="3"/>
  <c r="X67" i="3"/>
  <c r="R67" i="3"/>
  <c r="Y20" i="3"/>
  <c r="R22" i="3"/>
  <c r="R35" i="3"/>
  <c r="T61" i="3"/>
  <c r="F61" i="3" s="1"/>
  <c r="H232" i="3"/>
  <c r="H229" i="3"/>
  <c r="H234" i="3"/>
  <c r="H231" i="3"/>
  <c r="H228" i="3"/>
  <c r="H233" i="3"/>
  <c r="H230" i="3"/>
  <c r="H254" i="3"/>
  <c r="H250" i="3"/>
  <c r="H246" i="3"/>
  <c r="H242" i="3"/>
  <c r="H257" i="3"/>
  <c r="H253" i="3"/>
  <c r="H249" i="3"/>
  <c r="H245" i="3"/>
  <c r="H241" i="3"/>
  <c r="H256" i="3"/>
  <c r="H252" i="3"/>
  <c r="H248" i="3"/>
  <c r="H244" i="3"/>
  <c r="H240" i="3"/>
  <c r="H255" i="3"/>
  <c r="H251" i="3"/>
  <c r="H247" i="3"/>
  <c r="H243" i="3"/>
  <c r="H239" i="3"/>
  <c r="Z17" i="3"/>
  <c r="T17" i="3"/>
  <c r="F17" i="3" s="1"/>
  <c r="R17" i="3"/>
  <c r="T6" i="3"/>
  <c r="F6" i="3" s="1"/>
  <c r="R5" i="3"/>
  <c r="R18" i="3"/>
  <c r="Z37" i="3"/>
  <c r="T37" i="3"/>
  <c r="F37" i="3" s="1"/>
  <c r="Z43" i="3"/>
  <c r="T43" i="3"/>
  <c r="F43" i="3" s="1"/>
  <c r="Y49" i="3"/>
  <c r="X56" i="3"/>
  <c r="R56" i="3"/>
  <c r="T63" i="3"/>
  <c r="F63" i="3" s="1"/>
  <c r="Z33" i="3"/>
  <c r="T33" i="3"/>
  <c r="F33" i="3" s="1"/>
  <c r="T35" i="3"/>
  <c r="F35" i="3" s="1"/>
  <c r="Z35" i="3"/>
  <c r="X36" i="3"/>
  <c r="R36" i="3"/>
  <c r="X41" i="3"/>
  <c r="R41" i="3"/>
  <c r="X55" i="3"/>
  <c r="R55" i="3"/>
  <c r="X57" i="3"/>
  <c r="I191" i="3"/>
  <c r="E4" i="5" s="1"/>
  <c r="H187" i="3"/>
  <c r="R4" i="3"/>
  <c r="R7" i="3"/>
  <c r="T18" i="3"/>
  <c r="F18" i="3" s="1"/>
  <c r="Z18" i="3"/>
  <c r="Z29" i="3"/>
  <c r="T29" i="3"/>
  <c r="F29" i="3" s="1"/>
  <c r="T31" i="3"/>
  <c r="F31" i="3" s="1"/>
  <c r="Z31" i="3"/>
  <c r="X32" i="3"/>
  <c r="R32" i="3"/>
  <c r="Z40" i="3"/>
  <c r="T40" i="3"/>
  <c r="F40" i="3" s="1"/>
  <c r="T10" i="3"/>
  <c r="F10" i="3" s="1"/>
  <c r="Z10" i="3"/>
  <c r="H190" i="3"/>
  <c r="H189" i="3"/>
  <c r="T14" i="3"/>
  <c r="F14" i="3" s="1"/>
  <c r="Z14" i="3"/>
  <c r="Z25" i="3"/>
  <c r="T25" i="3"/>
  <c r="F25" i="3" s="1"/>
  <c r="X28" i="3"/>
  <c r="R28" i="3"/>
  <c r="X48" i="3"/>
  <c r="R48" i="3"/>
  <c r="R3" i="3"/>
  <c r="T4" i="3"/>
  <c r="F4" i="3" s="1"/>
  <c r="T7" i="3"/>
  <c r="F7" i="3" s="1"/>
  <c r="X8" i="3"/>
  <c r="R8" i="3"/>
  <c r="Z9" i="3"/>
  <c r="T9" i="3"/>
  <c r="F9" i="3" s="1"/>
  <c r="R11" i="3"/>
  <c r="R15" i="3"/>
  <c r="Z21" i="3"/>
  <c r="T21" i="3"/>
  <c r="F21" i="3" s="1"/>
  <c r="T23" i="3"/>
  <c r="F23" i="3" s="1"/>
  <c r="X24" i="3"/>
  <c r="R24" i="3"/>
  <c r="Y32" i="3"/>
  <c r="R34" i="3"/>
  <c r="X42" i="3"/>
  <c r="R42" i="3"/>
  <c r="X52" i="3"/>
  <c r="R52" i="3"/>
  <c r="X53" i="3"/>
  <c r="Y54" i="3"/>
  <c r="Y28" i="3"/>
  <c r="R30" i="3"/>
  <c r="T38" i="3"/>
  <c r="F38" i="3" s="1"/>
  <c r="Z38" i="3"/>
  <c r="X46" i="3"/>
  <c r="R46" i="3"/>
  <c r="Y53" i="3"/>
  <c r="X59" i="3"/>
  <c r="R59" i="3"/>
  <c r="Z63" i="3"/>
  <c r="X65" i="3"/>
  <c r="R65" i="3"/>
  <c r="Z58" i="3"/>
  <c r="Z66" i="3"/>
  <c r="T71" i="3"/>
  <c r="F71" i="3" s="1"/>
  <c r="Z74" i="3"/>
  <c r="T79" i="3"/>
  <c r="F79" i="3" s="1"/>
  <c r="Z89" i="3"/>
  <c r="T89" i="3"/>
  <c r="F89" i="3" s="1"/>
  <c r="Z69" i="3"/>
  <c r="R72" i="3"/>
  <c r="T74" i="3"/>
  <c r="F74" i="3" s="1"/>
  <c r="Z77" i="3"/>
  <c r="X81" i="3"/>
  <c r="X47" i="3"/>
  <c r="X49" i="3"/>
  <c r="Z64" i="3"/>
  <c r="T69" i="3"/>
  <c r="F69" i="3" s="1"/>
  <c r="Z72" i="3"/>
  <c r="R75" i="3"/>
  <c r="T77" i="3"/>
  <c r="F77" i="3" s="1"/>
  <c r="X83" i="3"/>
  <c r="R83" i="3"/>
  <c r="X45" i="3"/>
  <c r="R45" i="3"/>
  <c r="Z59" i="3"/>
  <c r="Z67" i="3"/>
  <c r="Z75" i="3"/>
  <c r="Z81" i="3"/>
  <c r="T81" i="3"/>
  <c r="F81" i="3" s="1"/>
  <c r="Z82" i="3"/>
  <c r="X84" i="3"/>
  <c r="R84" i="3"/>
  <c r="Z62" i="3"/>
  <c r="T67" i="3"/>
  <c r="F67" i="3" s="1"/>
  <c r="Z70" i="3"/>
  <c r="T75" i="3"/>
  <c r="F75" i="3" s="1"/>
  <c r="Z78" i="3"/>
  <c r="T82" i="3"/>
  <c r="F82" i="3" s="1"/>
  <c r="X95" i="3"/>
  <c r="R95" i="3"/>
  <c r="X50" i="3"/>
  <c r="R60" i="3"/>
  <c r="T62" i="3"/>
  <c r="F62" i="3" s="1"/>
  <c r="Z65" i="3"/>
  <c r="T70" i="3"/>
  <c r="F70" i="3" s="1"/>
  <c r="Z73" i="3"/>
  <c r="T78" i="3"/>
  <c r="F78" i="3" s="1"/>
  <c r="X91" i="3"/>
  <c r="R91" i="3"/>
  <c r="Z60" i="3"/>
  <c r="R63" i="3"/>
  <c r="Z68" i="3"/>
  <c r="R71" i="3"/>
  <c r="Z76" i="3"/>
  <c r="R79" i="3"/>
  <c r="X80" i="3"/>
  <c r="R80" i="3"/>
  <c r="X87" i="3"/>
  <c r="R87" i="3"/>
  <c r="Z71" i="3"/>
  <c r="Z79" i="3"/>
  <c r="Z85" i="3"/>
  <c r="T85" i="3"/>
  <c r="F85" i="3" s="1"/>
  <c r="Z93" i="3"/>
  <c r="T93" i="3"/>
  <c r="F93" i="3" s="1"/>
  <c r="X117" i="3"/>
  <c r="R117" i="3"/>
  <c r="X123" i="3"/>
  <c r="X126" i="3"/>
  <c r="R136" i="3"/>
  <c r="Z139" i="3"/>
  <c r="R142" i="3"/>
  <c r="T144" i="3"/>
  <c r="F144" i="3" s="1"/>
  <c r="R148" i="3"/>
  <c r="X150" i="3"/>
  <c r="R150" i="3"/>
  <c r="T53" i="3"/>
  <c r="F53" i="3" s="1"/>
  <c r="R104" i="3"/>
  <c r="Z110" i="3"/>
  <c r="T113" i="3"/>
  <c r="F113" i="3" s="1"/>
  <c r="Z113" i="3"/>
  <c r="X129" i="3"/>
  <c r="R129" i="3"/>
  <c r="X133" i="3"/>
  <c r="R133" i="3"/>
  <c r="Z136" i="3"/>
  <c r="Z142" i="3"/>
  <c r="Z148" i="3"/>
  <c r="T148" i="3"/>
  <c r="F148" i="3" s="1"/>
  <c r="Z149" i="3"/>
  <c r="X151" i="3"/>
  <c r="R151" i="3"/>
  <c r="R88" i="3"/>
  <c r="R92" i="3"/>
  <c r="R96" i="3"/>
  <c r="T97" i="3"/>
  <c r="F97" i="3" s="1"/>
  <c r="Z97" i="3"/>
  <c r="R100" i="3"/>
  <c r="T101" i="3"/>
  <c r="F101" i="3" s="1"/>
  <c r="Z101" i="3"/>
  <c r="T107" i="3"/>
  <c r="F107" i="3" s="1"/>
  <c r="Z107" i="3"/>
  <c r="R109" i="3"/>
  <c r="T110" i="3"/>
  <c r="F110" i="3" s="1"/>
  <c r="R115" i="3"/>
  <c r="T116" i="3"/>
  <c r="F116" i="3" s="1"/>
  <c r="Z116" i="3"/>
  <c r="Y123" i="3"/>
  <c r="Y124" i="3"/>
  <c r="Y125" i="3"/>
  <c r="X127" i="3"/>
  <c r="X128" i="3"/>
  <c r="X130" i="3"/>
  <c r="X131" i="3"/>
  <c r="X132" i="3"/>
  <c r="X134" i="3"/>
  <c r="T136" i="3"/>
  <c r="F136" i="3" s="1"/>
  <c r="R140" i="3"/>
  <c r="T142" i="3"/>
  <c r="F142" i="3" s="1"/>
  <c r="Z145" i="3"/>
  <c r="T149" i="3"/>
  <c r="F149" i="3" s="1"/>
  <c r="R47" i="3"/>
  <c r="T48" i="3"/>
  <c r="F48" i="3" s="1"/>
  <c r="R51" i="3"/>
  <c r="T52" i="3"/>
  <c r="F52" i="3" s="1"/>
  <c r="T56" i="3"/>
  <c r="F56" i="3" s="1"/>
  <c r="T104" i="3"/>
  <c r="F104" i="3" s="1"/>
  <c r="Z104" i="3"/>
  <c r="R112" i="3"/>
  <c r="Y114" i="3"/>
  <c r="R137" i="3"/>
  <c r="Z140" i="3"/>
  <c r="R143" i="3"/>
  <c r="T145" i="3"/>
  <c r="F145" i="3" s="1"/>
  <c r="T88" i="3"/>
  <c r="F88" i="3" s="1"/>
  <c r="Z88" i="3"/>
  <c r="T92" i="3"/>
  <c r="F92" i="3" s="1"/>
  <c r="Z92" i="3"/>
  <c r="T96" i="3"/>
  <c r="F96" i="3" s="1"/>
  <c r="Z96" i="3"/>
  <c r="R99" i="3"/>
  <c r="T100" i="3"/>
  <c r="F100" i="3" s="1"/>
  <c r="Y102" i="3"/>
  <c r="Z106" i="3"/>
  <c r="T109" i="3"/>
  <c r="F109" i="3" s="1"/>
  <c r="Z109" i="3"/>
  <c r="X118" i="3"/>
  <c r="R118" i="3"/>
  <c r="X120" i="3"/>
  <c r="R120" i="3"/>
  <c r="X121" i="3"/>
  <c r="R121" i="3"/>
  <c r="Y127" i="3"/>
  <c r="Y128" i="3"/>
  <c r="Y129" i="3"/>
  <c r="Y130" i="3"/>
  <c r="Y131" i="3"/>
  <c r="Y132" i="3"/>
  <c r="Y133" i="3"/>
  <c r="Y134" i="3"/>
  <c r="R135" i="3"/>
  <c r="Z137" i="3"/>
  <c r="Z143" i="3"/>
  <c r="R146" i="3"/>
  <c r="X147" i="3"/>
  <c r="R147" i="3"/>
  <c r="X154" i="3"/>
  <c r="R154" i="3"/>
  <c r="T47" i="3"/>
  <c r="F47" i="3" s="1"/>
  <c r="R50" i="3"/>
  <c r="T51" i="3"/>
  <c r="F51" i="3" s="1"/>
  <c r="R54" i="3"/>
  <c r="T55" i="3"/>
  <c r="F55" i="3" s="1"/>
  <c r="T103" i="3"/>
  <c r="F103" i="3" s="1"/>
  <c r="R111" i="3"/>
  <c r="R114" i="3"/>
  <c r="Z138" i="3"/>
  <c r="Z146" i="3"/>
  <c r="Z152" i="3"/>
  <c r="T152" i="3"/>
  <c r="F152" i="3" s="1"/>
  <c r="R98" i="3"/>
  <c r="R102" i="3"/>
  <c r="R108" i="3"/>
  <c r="Y110" i="3"/>
  <c r="Z114" i="3"/>
  <c r="X122" i="3"/>
  <c r="T138" i="3"/>
  <c r="F138" i="3" s="1"/>
  <c r="Z141" i="3"/>
  <c r="T146" i="3"/>
  <c r="F146" i="3" s="1"/>
  <c r="R49" i="3"/>
  <c r="R53" i="3"/>
  <c r="T54" i="3"/>
  <c r="F54" i="3" s="1"/>
  <c r="R57" i="3"/>
  <c r="T105" i="3"/>
  <c r="F105" i="3" s="1"/>
  <c r="T111" i="3"/>
  <c r="F111" i="3" s="1"/>
  <c r="X124" i="3"/>
  <c r="R124" i="3"/>
  <c r="X125" i="3"/>
  <c r="R125" i="3"/>
  <c r="Z144" i="3"/>
  <c r="T165" i="3"/>
  <c r="F165" i="3" s="1"/>
  <c r="Z165" i="3"/>
  <c r="R168" i="3"/>
  <c r="T169" i="3"/>
  <c r="F169" i="3" s="1"/>
  <c r="R172" i="3"/>
  <c r="T118" i="3"/>
  <c r="F118" i="3" s="1"/>
  <c r="T130" i="3"/>
  <c r="F130" i="3" s="1"/>
  <c r="T134" i="3"/>
  <c r="F134" i="3" s="1"/>
  <c r="R175" i="3"/>
  <c r="R182" i="3"/>
  <c r="R186" i="3"/>
  <c r="R155" i="3"/>
  <c r="T156" i="3"/>
  <c r="F156" i="3" s="1"/>
  <c r="Z156" i="3"/>
  <c r="R159" i="3"/>
  <c r="T160" i="3"/>
  <c r="F160" i="3" s="1"/>
  <c r="Z160" i="3"/>
  <c r="R163" i="3"/>
  <c r="T164" i="3"/>
  <c r="F164" i="3" s="1"/>
  <c r="Z164" i="3"/>
  <c r="R167" i="3"/>
  <c r="T168" i="3"/>
  <c r="F168" i="3" s="1"/>
  <c r="Z168" i="3"/>
  <c r="R171" i="3"/>
  <c r="T172" i="3"/>
  <c r="F172" i="3" s="1"/>
  <c r="Z172" i="3"/>
  <c r="T121" i="3"/>
  <c r="F121" i="3" s="1"/>
  <c r="T125" i="3"/>
  <c r="F125" i="3" s="1"/>
  <c r="R128" i="3"/>
  <c r="T129" i="3"/>
  <c r="F129" i="3" s="1"/>
  <c r="R132" i="3"/>
  <c r="T133" i="3"/>
  <c r="F133" i="3" s="1"/>
  <c r="T175" i="3"/>
  <c r="F175" i="3" s="1"/>
  <c r="Z175" i="3"/>
  <c r="T186" i="3"/>
  <c r="F186" i="3" s="1"/>
  <c r="Z186" i="3"/>
  <c r="R158" i="3"/>
  <c r="T159" i="3"/>
  <c r="F159" i="3" s="1"/>
  <c r="Z159" i="3"/>
  <c r="R162" i="3"/>
  <c r="T163" i="3"/>
  <c r="F163" i="3" s="1"/>
  <c r="Z163" i="3"/>
  <c r="R166" i="3"/>
  <c r="T167" i="3"/>
  <c r="F167" i="3" s="1"/>
  <c r="Z167" i="3"/>
  <c r="R170" i="3"/>
  <c r="T171" i="3"/>
  <c r="F171" i="3" s="1"/>
  <c r="R119" i="3"/>
  <c r="T120" i="3"/>
  <c r="F120" i="3" s="1"/>
  <c r="R123" i="3"/>
  <c r="T124" i="3"/>
  <c r="F124" i="3" s="1"/>
  <c r="R127" i="3"/>
  <c r="T128" i="3"/>
  <c r="F128" i="3" s="1"/>
  <c r="R131" i="3"/>
  <c r="T132" i="3"/>
  <c r="F132" i="3" s="1"/>
  <c r="R173" i="3"/>
  <c r="T174" i="3"/>
  <c r="F174" i="3" s="1"/>
  <c r="R180" i="3"/>
  <c r="T181" i="3"/>
  <c r="F181" i="3" s="1"/>
  <c r="R184" i="3"/>
  <c r="R161" i="3"/>
  <c r="R165" i="3"/>
  <c r="R169" i="3"/>
  <c r="T119" i="3"/>
  <c r="F119" i="3" s="1"/>
  <c r="R122" i="3"/>
  <c r="T123" i="3"/>
  <c r="F123" i="3" s="1"/>
  <c r="R126" i="3"/>
  <c r="T127" i="3"/>
  <c r="F127" i="3" s="1"/>
  <c r="R130" i="3"/>
  <c r="T131" i="3"/>
  <c r="F131" i="3" s="1"/>
  <c r="R134" i="3"/>
  <c r="R176" i="3"/>
  <c r="T180" i="3"/>
  <c r="F180" i="3" s="1"/>
  <c r="R183" i="3"/>
  <c r="H198" i="3" l="1" a="1"/>
  <c r="H198" i="3" s="1"/>
  <c r="I198" i="3" s="1"/>
  <c r="E39" i="5"/>
  <c r="E40" i="5"/>
  <c r="H219" i="3"/>
  <c r="H220" i="3"/>
  <c r="E21" i="5"/>
  <c r="H202" i="3"/>
  <c r="H203" i="3" s="1"/>
  <c r="H204" i="3" s="1"/>
  <c r="I204" i="3" s="1"/>
  <c r="E15" i="5" s="1"/>
  <c r="H208" i="3"/>
  <c r="H211" i="3"/>
  <c r="H191" i="3"/>
  <c r="I196" i="3" s="1"/>
  <c r="E5" i="5" s="1"/>
  <c r="H215" i="3"/>
  <c r="H222" i="3" l="1"/>
  <c r="H223" i="3" s="1"/>
  <c r="H221" i="3"/>
  <c r="I221" i="3" s="1"/>
  <c r="E35" i="5" s="1"/>
  <c r="I239" i="3"/>
  <c r="E3" i="5"/>
  <c r="I244" i="3"/>
  <c r="I219" i="3"/>
  <c r="E33" i="5" s="1"/>
  <c r="I234" i="3"/>
  <c r="I228" i="3"/>
  <c r="J228" i="3" s="1"/>
  <c r="I242" i="3"/>
  <c r="I231" i="3"/>
  <c r="I246" i="3"/>
  <c r="I257" i="3"/>
  <c r="E63" i="5" s="1"/>
  <c r="I247" i="3"/>
  <c r="H212" i="3"/>
  <c r="I211" i="3"/>
  <c r="E24" i="5" s="1"/>
  <c r="H205" i="3"/>
  <c r="I205" i="3" s="1"/>
  <c r="E16" i="5" s="1"/>
  <c r="I245" i="3"/>
  <c r="I250" i="3"/>
  <c r="I251" i="3"/>
  <c r="I256" i="3"/>
  <c r="I248" i="3"/>
  <c r="I253" i="3"/>
  <c r="I233" i="3"/>
  <c r="I252" i="3"/>
  <c r="I243" i="3"/>
  <c r="I215" i="3"/>
  <c r="E28" i="5" s="1"/>
  <c r="I240" i="3"/>
  <c r="I249" i="3"/>
  <c r="I254" i="3"/>
  <c r="I229" i="3"/>
  <c r="I255" i="3"/>
  <c r="I241" i="3"/>
  <c r="I203" i="3"/>
  <c r="E14" i="5" s="1"/>
  <c r="I220" i="3"/>
  <c r="E34" i="5" s="1"/>
  <c r="E7" i="5"/>
  <c r="H199" i="3" a="1"/>
  <c r="H199" i="3" s="1"/>
  <c r="I199" i="3" s="1"/>
  <c r="E8" i="5" s="1"/>
  <c r="H197" i="3" a="1"/>
  <c r="H197" i="3" s="1"/>
  <c r="I197" i="3" s="1"/>
  <c r="E6" i="5" s="1"/>
  <c r="I208" i="3"/>
  <c r="E19" i="5" s="1"/>
  <c r="I230" i="3"/>
  <c r="I232" i="3"/>
  <c r="I202" i="3"/>
  <c r="E13" i="5" s="1"/>
  <c r="E62" i="5" l="1"/>
  <c r="I222" i="3"/>
  <c r="E36" i="5" s="1"/>
  <c r="E61" i="5"/>
  <c r="E60" i="5"/>
  <c r="E59" i="5"/>
  <c r="H206" i="3"/>
  <c r="I206" i="3" s="1"/>
  <c r="E17" i="5" s="1"/>
  <c r="J232" i="3"/>
  <c r="E47" i="5" s="1"/>
  <c r="J231" i="3"/>
  <c r="E46" i="5" s="1"/>
  <c r="J233" i="3"/>
  <c r="E48" i="5" s="1"/>
  <c r="I223" i="3"/>
  <c r="I259" i="3"/>
  <c r="J234" i="3"/>
  <c r="E49" i="5" s="1"/>
  <c r="J229" i="3"/>
  <c r="I235" i="3"/>
  <c r="J230" i="3"/>
  <c r="E45" i="5" s="1"/>
  <c r="I212" i="3"/>
  <c r="E25" i="5" s="1"/>
  <c r="H213" i="3"/>
  <c r="I224" i="3" l="1"/>
  <c r="E37" i="5"/>
  <c r="H207" i="3"/>
  <c r="I207" i="3" s="1"/>
  <c r="I213" i="3"/>
  <c r="E26" i="5" s="1"/>
  <c r="H214" i="3"/>
  <c r="I214" i="3" s="1"/>
  <c r="E27" i="5" s="1"/>
  <c r="I209" i="3" l="1"/>
  <c r="E18" i="5"/>
  <c r="I216" i="3"/>
  <c r="E20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<sst xmlns="http://schemas.openxmlformats.org/spreadsheetml/2006/main" count="1418" uniqueCount="145">
  <si>
    <t>ID</t>
  </si>
  <si>
    <t>Borrower ID</t>
  </si>
  <si>
    <t>CurrentRate</t>
  </si>
  <si>
    <t>JIBAR/Prime</t>
  </si>
  <si>
    <t>Rem Term</t>
  </si>
  <si>
    <t>Instalment</t>
  </si>
  <si>
    <t>LoanBalance</t>
  </si>
  <si>
    <t>Original Loan term</t>
  </si>
  <si>
    <t>Loan Open date</t>
  </si>
  <si>
    <t>Loan Start Date</t>
  </si>
  <si>
    <t>City</t>
  </si>
  <si>
    <t>Suburb</t>
  </si>
  <si>
    <t>Original Valuation</t>
  </si>
  <si>
    <t>Original Facility</t>
  </si>
  <si>
    <t>CLTV</t>
  </si>
  <si>
    <t>OLTV</t>
  </si>
  <si>
    <t>Arrears</t>
  </si>
  <si>
    <t>Seasoning</t>
  </si>
  <si>
    <t>Recent Valuation on Property</t>
  </si>
  <si>
    <t>Amortising</t>
  </si>
  <si>
    <t>Include</t>
  </si>
  <si>
    <t>Interest Only End</t>
  </si>
  <si>
    <t>Interest Only</t>
  </si>
  <si>
    <t>Existing</t>
  </si>
  <si>
    <t>New</t>
  </si>
  <si>
    <t xml:space="preserve">Total </t>
  </si>
  <si>
    <t>Check</t>
  </si>
  <si>
    <t>WA Seasoning</t>
  </si>
  <si>
    <t>WA Margin</t>
  </si>
  <si>
    <t>WA LtV</t>
  </si>
  <si>
    <t>Current LtV</t>
  </si>
  <si>
    <t>&lt; =30%</t>
  </si>
  <si>
    <t>&lt; = 40%</t>
  </si>
  <si>
    <t>&lt; = 50%</t>
  </si>
  <si>
    <t>&lt; = 60%</t>
  </si>
  <si>
    <t>&lt; = 70%</t>
  </si>
  <si>
    <t>&lt; = 80%</t>
  </si>
  <si>
    <t>&gt; 80%</t>
  </si>
  <si>
    <t>&lt; =6</t>
  </si>
  <si>
    <t>&lt; = 12</t>
  </si>
  <si>
    <t>&lt; = 18</t>
  </si>
  <si>
    <t>&lt; = 24</t>
  </si>
  <si>
    <t>&gt; 24</t>
  </si>
  <si>
    <t>&lt; =200bps</t>
  </si>
  <si>
    <t>&lt; =300bps</t>
  </si>
  <si>
    <t>&lt; =400bps</t>
  </si>
  <si>
    <t>&lt; =500bps</t>
  </si>
  <si>
    <t>&lt; =600bps</t>
  </si>
  <si>
    <t>Borrower Concentration</t>
  </si>
  <si>
    <t>Geographical Concentration</t>
  </si>
  <si>
    <t>Balance</t>
  </si>
  <si>
    <t>%</t>
  </si>
  <si>
    <t>GP</t>
  </si>
  <si>
    <t>Johannesburg</t>
  </si>
  <si>
    <t>Benoni</t>
  </si>
  <si>
    <t>Boksburg</t>
  </si>
  <si>
    <t>Edenvale</t>
  </si>
  <si>
    <t>Germiston</t>
  </si>
  <si>
    <t>Krugersdorp</t>
  </si>
  <si>
    <t>Krugersdrop</t>
  </si>
  <si>
    <t>Rosettenville</t>
  </si>
  <si>
    <t>Kempton Park</t>
  </si>
  <si>
    <t>Sasolburg</t>
  </si>
  <si>
    <t>FS</t>
  </si>
  <si>
    <t>Bloemfontein</t>
  </si>
  <si>
    <t>Bloemfontein Central</t>
  </si>
  <si>
    <t>KZN</t>
  </si>
  <si>
    <t>Durban</t>
  </si>
  <si>
    <t>Pinetown</t>
  </si>
  <si>
    <t>EC</t>
  </si>
  <si>
    <t>East London</t>
  </si>
  <si>
    <t>Port Elizabeth</t>
  </si>
  <si>
    <t>Port  Elizabeth</t>
  </si>
  <si>
    <t>Uitenhage</t>
  </si>
  <si>
    <t>WC</t>
  </si>
  <si>
    <t>Cape Town</t>
  </si>
  <si>
    <t>Prime</t>
  </si>
  <si>
    <t>Berea</t>
  </si>
  <si>
    <t>Joubert Park</t>
  </si>
  <si>
    <t>Hillbrow</t>
  </si>
  <si>
    <t>Yeoville</t>
  </si>
  <si>
    <t>North end</t>
  </si>
  <si>
    <t>Central</t>
  </si>
  <si>
    <t>Doornfontein</t>
  </si>
  <si>
    <t>Bellevue East</t>
  </si>
  <si>
    <t>Malvern</t>
  </si>
  <si>
    <t>Port elizabeth central</t>
  </si>
  <si>
    <t>Greyville</t>
  </si>
  <si>
    <t>Bezuidenhout valley</t>
  </si>
  <si>
    <t>Belle-Vue</t>
  </si>
  <si>
    <t>Bellevue</t>
  </si>
  <si>
    <t>New Doornfontein</t>
  </si>
  <si>
    <t>Kensington</t>
  </si>
  <si>
    <t>Judiths Paarl</t>
  </si>
  <si>
    <t>Cleveland</t>
  </si>
  <si>
    <t>Orange grove</t>
  </si>
  <si>
    <t>Lorentzville</t>
  </si>
  <si>
    <t>Jeppestown</t>
  </si>
  <si>
    <t>JiBar</t>
  </si>
  <si>
    <t>Turffontein West</t>
  </si>
  <si>
    <t>Regents park</t>
  </si>
  <si>
    <t>Edendale</t>
  </si>
  <si>
    <t>Turffontein</t>
  </si>
  <si>
    <t>Southernwood</t>
  </si>
  <si>
    <t>City and Suburban</t>
  </si>
  <si>
    <t>Forest hill</t>
  </si>
  <si>
    <t>Bulwer</t>
  </si>
  <si>
    <t>Richmond Hill</t>
  </si>
  <si>
    <t>Rugby</t>
  </si>
  <si>
    <t>Elsburg</t>
  </si>
  <si>
    <t>Windsor-wes</t>
  </si>
  <si>
    <t>Morningside</t>
  </si>
  <si>
    <t>Bertrams</t>
  </si>
  <si>
    <t>South Beach</t>
  </si>
  <si>
    <t>Maitland</t>
  </si>
  <si>
    <t>Windermere</t>
  </si>
  <si>
    <t>Troyeville</t>
  </si>
  <si>
    <t>Belgravia</t>
  </si>
  <si>
    <t>Park west</t>
  </si>
  <si>
    <t>Doornfontein North</t>
  </si>
  <si>
    <t>Brakpan</t>
  </si>
  <si>
    <t>Bluff</t>
  </si>
  <si>
    <t>Springfield</t>
  </si>
  <si>
    <t>Birchleigh</t>
  </si>
  <si>
    <t>Yes</t>
  </si>
  <si>
    <t>No</t>
  </si>
  <si>
    <t>Total_Disbursements</t>
  </si>
  <si>
    <t>Top 7</t>
  </si>
  <si>
    <t>Top 6</t>
  </si>
  <si>
    <t>Top 5</t>
  </si>
  <si>
    <t>Top 4</t>
  </si>
  <si>
    <t>Top 3</t>
  </si>
  <si>
    <t>Max</t>
  </si>
  <si>
    <t>Min</t>
  </si>
  <si>
    <t>WA Margin over Prime</t>
  </si>
  <si>
    <t>Interest Only Loans</t>
  </si>
  <si>
    <t>Number of Loans</t>
  </si>
  <si>
    <t>Total Portfolio</t>
  </si>
  <si>
    <t>Combined</t>
  </si>
  <si>
    <t>Margin</t>
  </si>
  <si>
    <t>Margin over Jibar</t>
  </si>
  <si>
    <t>&lt; =700bps</t>
  </si>
  <si>
    <t>&lt; =800bps</t>
  </si>
  <si>
    <t>&lt; =900bps</t>
  </si>
  <si>
    <t>&lt; =1000bps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</si>
</sst>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#,##0_);\(#,##0\);&quot;-  &quot;;&quot; &quot;@&quot; &quot;"/>
    <numFmt numFmtId="165" formatCode="dd\ mmm\ yyyy_);\(###0\);&quot;-  &quot;;&quot; &quot;@&quot; &quot;"/>
    <numFmt numFmtId="166" formatCode="#,##0.00_);\(#,##0.00\);&quot;-  &quot;;&quot; &quot;@&quot; &quot;"/>
    <numFmt numFmtId="167" formatCode="0.00%_);\-0.00%_);&quot;-  &quot;;&quot; &quot;@&quot; &quot;"/>
    <numFmt numFmtId="168" formatCode="_(* #,##0_);_(* \(#,##0\);_(* &quot;-&quot;??_);_(@_)"/>
    <numFmt numFmtId="169" formatCode="_(* #,##0.0_);_(* \(#,##0.0\);_(* &quot;-&quot;??_);_(@_)"/>
    <numFmt numFmtId="170" formatCode="[$-409]d\-mmm\-yy;@"/>
    <numFmt numFmtId="171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Protection="0">
      <alignment vertical="top"/>
    </xf>
    <xf numFmtId="165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</cellStyleXfs>
  <cellXfs count="92">
    <xf numFmtId="0" fontId="0" fillId="0" borderId="0" xfId="0"/>
    <xf numFmtId="0" fontId="3" fillId="0" borderId="0" xfId="3" applyNumberFormat="1" applyFont="1" applyFill="1">
      <alignment vertical="top"/>
    </xf>
    <xf numFmtId="164" fontId="3" fillId="0" borderId="0" xfId="3" applyFont="1" applyFill="1">
      <alignment vertical="top"/>
    </xf>
    <xf numFmtId="164" fontId="1" fillId="0" borderId="0" xfId="3" applyFill="1" applyAlignment="1"/>
    <xf numFmtId="0" fontId="6" fillId="2" borderId="0" xfId="0" applyFont="1" applyFill="1"/>
    <xf numFmtId="10" fontId="7" fillId="2" borderId="0" xfId="0" applyNumberFormat="1" applyFont="1" applyFill="1"/>
    <xf numFmtId="10" fontId="6" fillId="2" borderId="2" xfId="0" applyNumberFormat="1" applyFont="1" applyFill="1" applyBorder="1"/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/>
    <xf numFmtId="10" fontId="6" fillId="2" borderId="5" xfId="0" applyNumberFormat="1" applyFont="1" applyFill="1" applyBorder="1"/>
    <xf numFmtId="0" fontId="6" fillId="2" borderId="0" xfId="0" applyFont="1" applyFill="1" applyAlignment="1">
      <alignment horizontal="left"/>
    </xf>
    <xf numFmtId="0" fontId="6" fillId="2" borderId="6" xfId="0" applyFont="1" applyFill="1" applyBorder="1"/>
    <xf numFmtId="10" fontId="6" fillId="2" borderId="7" xfId="0" applyNumberFormat="1" applyFont="1" applyFill="1" applyBorder="1"/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9" fontId="7" fillId="2" borderId="0" xfId="0" applyNumberFormat="1" applyFont="1" applyFill="1"/>
    <xf numFmtId="9" fontId="6" fillId="2" borderId="0" xfId="0" applyNumberFormat="1" applyFont="1" applyFill="1"/>
    <xf numFmtId="0" fontId="6" fillId="2" borderId="3" xfId="0" applyFont="1" applyFill="1" applyBorder="1"/>
    <xf numFmtId="9" fontId="6" fillId="2" borderId="4" xfId="0" applyNumberFormat="1" applyFont="1" applyFill="1" applyBorder="1" applyAlignment="1">
      <alignment horizontal="right"/>
    </xf>
    <xf numFmtId="9" fontId="6" fillId="2" borderId="6" xfId="0" applyNumberFormat="1" applyFont="1" applyFill="1" applyBorder="1" applyAlignment="1">
      <alignment horizontal="right"/>
    </xf>
    <xf numFmtId="0" fontId="6" fillId="2" borderId="8" xfId="0" applyFont="1" applyFill="1" applyBorder="1"/>
    <xf numFmtId="9" fontId="6" fillId="2" borderId="9" xfId="0" applyNumberFormat="1" applyFont="1" applyFill="1" applyBorder="1" applyAlignment="1">
      <alignment horizontal="right"/>
    </xf>
    <xf numFmtId="10" fontId="6" fillId="2" borderId="0" xfId="2" applyNumberFormat="1" applyFont="1" applyFill="1"/>
    <xf numFmtId="9" fontId="6" fillId="2" borderId="2" xfId="0" applyNumberFormat="1" applyFont="1" applyFill="1" applyBorder="1"/>
    <xf numFmtId="0" fontId="6" fillId="2" borderId="10" xfId="0" applyFont="1" applyFill="1" applyBorder="1"/>
    <xf numFmtId="9" fontId="6" fillId="2" borderId="5" xfId="0" applyNumberFormat="1" applyFont="1" applyFill="1" applyBorder="1"/>
    <xf numFmtId="0" fontId="6" fillId="2" borderId="11" xfId="0" applyFont="1" applyFill="1" applyBorder="1"/>
    <xf numFmtId="9" fontId="6" fillId="2" borderId="7" xfId="0" applyNumberFormat="1" applyFont="1" applyFill="1" applyBorder="1"/>
    <xf numFmtId="0" fontId="6" fillId="2" borderId="12" xfId="0" applyFont="1" applyFill="1" applyBorder="1"/>
    <xf numFmtId="171" fontId="7" fillId="2" borderId="0" xfId="0" applyNumberFormat="1" applyFont="1" applyFill="1"/>
    <xf numFmtId="171" fontId="6" fillId="2" borderId="2" xfId="0" applyNumberFormat="1" applyFont="1" applyFill="1" applyBorder="1"/>
    <xf numFmtId="16" fontId="6" fillId="2" borderId="3" xfId="0" applyNumberFormat="1" applyFont="1" applyFill="1" applyBorder="1"/>
    <xf numFmtId="171" fontId="6" fillId="2" borderId="5" xfId="0" applyNumberFormat="1" applyFont="1" applyFill="1" applyBorder="1"/>
    <xf numFmtId="16" fontId="6" fillId="2" borderId="0" xfId="0" applyNumberFormat="1" applyFont="1" applyFill="1"/>
    <xf numFmtId="171" fontId="6" fillId="2" borderId="7" xfId="0" applyNumberFormat="1" applyFont="1" applyFill="1" applyBorder="1"/>
    <xf numFmtId="171" fontId="6" fillId="2" borderId="5" xfId="2" applyNumberFormat="1" applyFont="1" applyFill="1" applyBorder="1"/>
    <xf numFmtId="171" fontId="6" fillId="2" borderId="7" xfId="2" applyNumberFormat="1" applyFont="1" applyFill="1" applyBorder="1"/>
    <xf numFmtId="10" fontId="6" fillId="2" borderId="13" xfId="2" applyNumberFormat="1" applyFont="1" applyFill="1" applyBorder="1"/>
    <xf numFmtId="0" fontId="6" fillId="2" borderId="14" xfId="0" applyFont="1" applyFill="1" applyBorder="1"/>
    <xf numFmtId="0" fontId="7" fillId="2" borderId="15" xfId="0" applyFont="1" applyFill="1" applyBorder="1"/>
    <xf numFmtId="10" fontId="6" fillId="2" borderId="16" xfId="0" applyNumberFormat="1" applyFont="1" applyFill="1" applyBorder="1"/>
    <xf numFmtId="0" fontId="7" fillId="2" borderId="1" xfId="0" applyFont="1" applyFill="1" applyBorder="1"/>
    <xf numFmtId="43" fontId="6" fillId="2" borderId="16" xfId="1" applyFont="1" applyFill="1" applyBorder="1"/>
    <xf numFmtId="0" fontId="6" fillId="2" borderId="16" xfId="0" applyFont="1" applyFill="1" applyBorder="1"/>
    <xf numFmtId="168" fontId="6" fillId="2" borderId="0" xfId="0" applyNumberFormat="1" applyFont="1" applyFill="1"/>
    <xf numFmtId="168" fontId="7" fillId="2" borderId="16" xfId="1" applyNumberFormat="1" applyFont="1" applyFill="1" applyBorder="1"/>
    <xf numFmtId="17" fontId="7" fillId="2" borderId="17" xfId="0" applyNumberFormat="1" applyFont="1" applyFill="1" applyBorder="1"/>
    <xf numFmtId="0" fontId="6" fillId="2" borderId="18" xfId="0" applyFont="1" applyFill="1" applyBorder="1"/>
    <xf numFmtId="0" fontId="6" fillId="2" borderId="19" xfId="0" applyFont="1" applyFill="1" applyBorder="1"/>
    <xf numFmtId="168" fontId="6" fillId="2" borderId="0" xfId="0" quotePrefix="1" applyNumberFormat="1" applyFont="1" applyFill="1"/>
    <xf numFmtId="10" fontId="1" fillId="0" borderId="0" xfId="2" applyNumberFormat="1" applyFill="1" applyAlignment="1">
      <alignment vertical="top"/>
    </xf>
    <xf numFmtId="168" fontId="0" fillId="0" borderId="0" xfId="1" applyNumberFormat="1" applyFont="1" applyFill="1"/>
    <xf numFmtId="9" fontId="6" fillId="2" borderId="16" xfId="2" applyFont="1" applyFill="1" applyBorder="1"/>
    <xf numFmtId="0" fontId="1" fillId="0" borderId="0" xfId="3" applyNumberFormat="1" applyFill="1">
      <alignment vertical="top"/>
    </xf>
    <xf numFmtId="164" fontId="1" fillId="0" borderId="0" xfId="3" applyFill="1">
      <alignment vertical="top"/>
    </xf>
    <xf numFmtId="43" fontId="0" fillId="0" borderId="0" xfId="1" applyFont="1" applyFill="1"/>
    <xf numFmtId="165" fontId="0" fillId="0" borderId="0" xfId="4" applyFont="1" applyFill="1">
      <alignment vertical="top"/>
    </xf>
    <xf numFmtId="166" fontId="2" fillId="0" borderId="0" xfId="3" applyNumberFormat="1" applyFont="1" applyFill="1">
      <alignment vertical="top"/>
    </xf>
    <xf numFmtId="166" fontId="1" fillId="0" borderId="0" xfId="3" applyNumberFormat="1" applyFill="1">
      <alignment vertical="top"/>
    </xf>
    <xf numFmtId="164" fontId="4" fillId="0" borderId="0" xfId="3" applyFont="1" applyFill="1">
      <alignment vertical="top"/>
    </xf>
    <xf numFmtId="165" fontId="4" fillId="0" borderId="0" xfId="4" applyFont="1" applyFill="1">
      <alignment vertical="top"/>
    </xf>
    <xf numFmtId="43" fontId="3" fillId="0" borderId="0" xfId="1" applyFont="1" applyFill="1" applyAlignment="1">
      <alignment vertical="top"/>
    </xf>
    <xf numFmtId="164" fontId="5" fillId="0" borderId="0" xfId="3" applyFont="1" applyFill="1" applyAlignment="1">
      <alignment vertical="top" wrapText="1"/>
    </xf>
    <xf numFmtId="164" fontId="3" fillId="0" borderId="0" xfId="3" applyFont="1" applyFill="1" applyAlignment="1">
      <alignment vertical="top" wrapText="1"/>
    </xf>
    <xf numFmtId="43" fontId="1" fillId="0" borderId="0" xfId="1" applyFill="1" applyAlignment="1">
      <alignment vertical="top"/>
    </xf>
    <xf numFmtId="0" fontId="1" fillId="0" borderId="0" xfId="1" applyNumberFormat="1" applyFill="1" applyAlignment="1">
      <alignment horizontal="center" vertical="top"/>
    </xf>
    <xf numFmtId="9" fontId="1" fillId="0" borderId="0" xfId="2" applyFill="1" applyAlignment="1">
      <alignment vertical="top"/>
    </xf>
    <xf numFmtId="9" fontId="0" fillId="0" borderId="0" xfId="2" applyFont="1" applyFill="1" applyAlignment="1">
      <alignment vertical="top"/>
    </xf>
    <xf numFmtId="164" fontId="1" fillId="0" borderId="0" xfId="3" applyFill="1" applyAlignment="1">
      <alignment horizontal="center" vertical="top"/>
    </xf>
    <xf numFmtId="167" fontId="4" fillId="0" borderId="0" xfId="5" applyFont="1" applyFill="1">
      <alignment vertical="top"/>
    </xf>
    <xf numFmtId="0" fontId="0" fillId="0" borderId="1" xfId="0" applyFill="1" applyBorder="1"/>
    <xf numFmtId="0" fontId="0" fillId="0" borderId="0" xfId="0" applyFill="1"/>
    <xf numFmtId="168" fontId="0" fillId="0" borderId="0" xfId="1" applyNumberFormat="1" applyFont="1" applyFill="1" applyAlignment="1">
      <alignment vertical="top"/>
    </xf>
    <xf numFmtId="166" fontId="0" fillId="0" borderId="0" xfId="1" applyNumberFormat="1" applyFont="1" applyFill="1" applyAlignment="1">
      <alignment vertical="top"/>
    </xf>
    <xf numFmtId="43" fontId="3" fillId="0" borderId="0" xfId="1" applyFont="1" applyFill="1"/>
    <xf numFmtId="169" fontId="0" fillId="0" borderId="0" xfId="1" applyNumberFormat="1" applyFont="1" applyFill="1"/>
    <xf numFmtId="43" fontId="0" fillId="0" borderId="0" xfId="1" applyFont="1" applyFill="1" applyAlignment="1">
      <alignment vertical="top"/>
    </xf>
    <xf numFmtId="168" fontId="2" fillId="0" borderId="0" xfId="1" applyNumberFormat="1" applyFont="1" applyFill="1"/>
    <xf numFmtId="2" fontId="0" fillId="0" borderId="0" xfId="0" applyNumberFormat="1" applyFill="1"/>
    <xf numFmtId="10" fontId="0" fillId="0" borderId="0" xfId="2" applyNumberFormat="1" applyFont="1" applyFill="1"/>
    <xf numFmtId="0" fontId="3" fillId="0" borderId="0" xfId="0" applyFont="1" applyFill="1"/>
    <xf numFmtId="9" fontId="0" fillId="0" borderId="0" xfId="2" applyFont="1" applyFill="1"/>
    <xf numFmtId="16" fontId="0" fillId="0" borderId="0" xfId="0" applyNumberFormat="1" applyFill="1"/>
    <xf numFmtId="9" fontId="3" fillId="0" borderId="0" xfId="0" applyNumberFormat="1" applyFont="1" applyFill="1"/>
    <xf numFmtId="9" fontId="3" fillId="0" borderId="0" xfId="2" applyFont="1" applyFill="1"/>
    <xf numFmtId="10" fontId="3" fillId="0" borderId="0" xfId="2" applyNumberFormat="1" applyFont="1" applyFill="1"/>
    <xf numFmtId="9" fontId="0" fillId="0" borderId="0" xfId="0" applyNumberFormat="1" applyFill="1"/>
    <xf numFmtId="0" fontId="0" fillId="0" borderId="0" xfId="0" applyFill="1" applyAlignment="1">
      <alignment horizontal="left"/>
    </xf>
    <xf numFmtId="170" fontId="0" fillId="0" borderId="0" xfId="0" applyNumberFormat="1" applyFill="1"/>
    <xf numFmtId="10" fontId="0" fillId="0" borderId="0" xfId="0" applyNumberFormat="1" applyFill="1"/>
  </cellXfs>
  <cellStyles count="6">
    <cellStyle name="Comma" xfId="1" builtinId="3"/>
    <cellStyle name="DateLong" xfId="4" xr:uid="{4BC56497-58E0-4ED2-AC18-EDDE56B089B2}"/>
    <cellStyle name="Normal" xfId="0" builtinId="0"/>
    <cellStyle name="Normal 3" xfId="3" xr:uid="{763204A8-AE93-435B-AB34-1713A2E240B4}"/>
    <cellStyle name="Percent" xfId="2" builtinId="5"/>
    <cellStyle name="Percent 3" xfId="5" xr:uid="{9C83B3D9-B782-431C-80FD-68A01C66BE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"Current LtV"</c:f>
          <c:strCache>
            <c:ptCount val="1"/>
            <c:pt idx="0">
              <c:v>Current LtV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Graphs'!$D$12</c:f>
              <c:strCache>
                <c:ptCount val="1"/>
                <c:pt idx="0">
                  <c:v>Existing</c:v>
                </c:pt>
              </c:strCache>
            </c:strRef>
          </c:tx>
          <c:invertIfNegative val="0"/>
          <c:cat>
            <c:strRef>
              <c:f>'Summary Graphs'!$C$13:$C$19</c:f>
              <c:strCache>
                <c:ptCount val="7"/>
                <c:pt idx="0">
                  <c:v>&lt; =30%</c:v>
                </c:pt>
                <c:pt idx="1">
                  <c:v>&lt; = 40%</c:v>
                </c:pt>
                <c:pt idx="2">
                  <c:v>&lt; = 50%</c:v>
                </c:pt>
                <c:pt idx="3">
                  <c:v>&lt; = 60%</c:v>
                </c:pt>
                <c:pt idx="4">
                  <c:v>&lt; = 70%</c:v>
                </c:pt>
                <c:pt idx="5">
                  <c:v>&lt; = 80%</c:v>
                </c:pt>
                <c:pt idx="6">
                  <c:v>&gt; 80%</c:v>
                </c:pt>
              </c:strCache>
            </c:strRef>
          </c:cat>
          <c:val>
            <c:numRef>
              <c:f>'Summary Graphs'!$D$13:$D$19</c:f>
              <c:numCache>
                <c:formatCode>0.0%</c:formatCode>
                <c:ptCount val="7"/>
                <c:pt idx="0">
                  <c:v>1.670837634574325E-2</c:v>
                </c:pt>
                <c:pt idx="1">
                  <c:v>7.4082150043123296E-2</c:v>
                </c:pt>
                <c:pt idx="2">
                  <c:v>8.9740238465443448E-2</c:v>
                </c:pt>
                <c:pt idx="3">
                  <c:v>0.25454076678412457</c:v>
                </c:pt>
                <c:pt idx="4">
                  <c:v>0.39270404217420901</c:v>
                </c:pt>
                <c:pt idx="5">
                  <c:v>0.17222442618735642</c:v>
                </c:pt>
                <c:pt idx="6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D8-4098-957B-43B37D540028}"/>
            </c:ext>
          </c:extLst>
        </c:ser>
        <c:ser>
          <c:idx val="1"/>
          <c:order val="1"/>
          <c:tx>
            <c:strRef>
              <c:f>'Summary Graphs'!$E$12</c:f>
              <c:strCache>
                <c:ptCount val="1"/>
                <c:pt idx="0">
                  <c:v>Combined</c:v>
                </c:pt>
              </c:strCache>
            </c:strRef>
          </c:tx>
          <c:invertIfNegative val="0"/>
          <c:val>
            <c:numRef>
              <c:f>'Summary Graphs'!$E$13:$E$19</c:f>
              <c:numCache>
                <c:formatCode>0.0%</c:formatCode>
                <c:ptCount val="7"/>
                <c:pt idx="0">
                  <c:v>5.5601405162363955E-2</c:v>
                </c:pt>
                <c:pt idx="1">
                  <c:v>2.3578508363757505E-2</c:v>
                </c:pt>
                <c:pt idx="2">
                  <c:v>0.13629605208328688</c:v>
                </c:pt>
                <c:pt idx="3">
                  <c:v>0.24937700722510098</c:v>
                </c:pt>
                <c:pt idx="4">
                  <c:v>0.34280874659407035</c:v>
                </c:pt>
                <c:pt idx="5">
                  <c:v>0.19233828057142033</c:v>
                </c:pt>
                <c:pt idx="6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D8-4098-957B-43B37D540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5756335"/>
        <c:axId val="1265731791"/>
      </c:barChart>
      <c:catAx>
        <c:axId val="1265756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5731791"/>
        <c:crosses val="autoZero"/>
        <c:auto val="1"/>
        <c:lblAlgn val="ctr"/>
        <c:lblOffset val="100"/>
        <c:noMultiLvlLbl val="0"/>
      </c:catAx>
      <c:valAx>
        <c:axId val="1265731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5756335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'Summary Graphs'!$B$23</c:f>
          <c:strCache>
            <c:ptCount val="1"/>
            <c:pt idx="0">
              <c:v>Seasoning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990490635583393E-2"/>
          <c:y val="0.18655692034664792"/>
          <c:w val="0.86634994560262468"/>
          <c:h val="0.54745633118930503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'Summary Graphs'!$E$23</c:f>
              <c:strCache>
                <c:ptCount val="1"/>
                <c:pt idx="0">
                  <c:v>Combined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'Summary Graphs'!$E$24:$E$28</c:f>
              <c:numCache>
                <c:formatCode>0.0%</c:formatCode>
                <c:ptCount val="5"/>
                <c:pt idx="0">
                  <c:v>0.11469889459242569</c:v>
                </c:pt>
                <c:pt idx="1">
                  <c:v>5.7342814251329609E-2</c:v>
                </c:pt>
                <c:pt idx="2">
                  <c:v>0.13134472765271632</c:v>
                </c:pt>
                <c:pt idx="3">
                  <c:v>0.26070806999318236</c:v>
                </c:pt>
                <c:pt idx="4">
                  <c:v>0.43590549351034624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69-4C11-8CA9-8489FA29CDB5}"/>
            </c:ext>
          </c:extLst>
        </c:ser>
        <c:ser>
          <c:idx val="0"/>
          <c:order val="1"/>
          <c:tx>
            <c:strRef>
              <c:f>'Summary Graphs'!$D$23</c:f>
              <c:strCache>
                <c:ptCount val="1"/>
                <c:pt idx="0">
                  <c:v>Existing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'Summary Graphs'!$C$24:$C$28</c:f>
              <c:strCache>
                <c:ptCount val="5"/>
                <c:pt idx="0">
                  <c:v>&lt; =6</c:v>
                </c:pt>
                <c:pt idx="1">
                  <c:v>&lt; = 12</c:v>
                </c:pt>
                <c:pt idx="2">
                  <c:v>&lt; = 18</c:v>
                </c:pt>
                <c:pt idx="3">
                  <c:v>&lt; = 24</c:v>
                </c:pt>
                <c:pt idx="4">
                  <c:v>&gt; 24</c:v>
                </c:pt>
              </c:strCache>
            </c:strRef>
          </c:cat>
          <c:val>
            <c:numRef>
              <c:f>'Summary Graphs'!$D$24:$D$28</c:f>
              <c:numCache>
                <c:formatCode>0.0%</c:formatCode>
                <c:ptCount val="5"/>
                <c:pt idx="0">
                  <c:v>3.7924060162188064E-2</c:v>
                </c:pt>
                <c:pt idx="1">
                  <c:v>4.4995801253866576E-2</c:v>
                </c:pt>
                <c:pt idx="2">
                  <c:v>0.13864516195961774</c:v>
                </c:pt>
                <c:pt idx="3">
                  <c:v>0.27372584086043927</c:v>
                </c:pt>
                <c:pt idx="4">
                  <c:v>0.50470913576388854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69-4C11-8CA9-8489FA29C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0357504"/>
        <c:axId val="1300342112"/>
      </c:barChart>
      <c:catAx>
        <c:axId val="130035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342112"/>
        <c:crosses val="autoZero"/>
        <c:auto val="1"/>
        <c:lblAlgn val="ctr"/>
        <c:lblOffset val="100"/>
        <c:noMultiLvlLbl val="0"/>
      </c:catAx>
      <c:valAx>
        <c:axId val="130034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357504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'Summary Graphs'!$B$32</c:f>
          <c:strCache>
            <c:ptCount val="1"/>
            <c:pt idx="0">
              <c:v>Margin over Jibar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Graphs'!$D$32</c:f>
              <c:strCache>
                <c:ptCount val="1"/>
                <c:pt idx="0">
                  <c:v>Existing</c:v>
                </c:pt>
              </c:strCache>
            </c:strRef>
          </c:tx>
          <c:invertIfNegative val="0"/>
          <c:cat>
            <c:strRef>
              <c:f>'Summary Graphs'!$C$33:$C$37</c:f>
              <c:strCache>
                <c:ptCount val="5"/>
                <c:pt idx="0">
                  <c:v>&lt; =200bps</c:v>
                </c:pt>
                <c:pt idx="1">
                  <c:v>&lt; =300bps</c:v>
                </c:pt>
                <c:pt idx="2">
                  <c:v>&lt; =400bps</c:v>
                </c:pt>
                <c:pt idx="3">
                  <c:v>&lt; =500bps</c:v>
                </c:pt>
                <c:pt idx="4">
                  <c:v>&lt; =600bps</c:v>
                </c:pt>
              </c:strCache>
            </c:strRef>
          </c:cat>
          <c:val>
            <c:numRef>
              <c:f>'Summary Graphs'!$D$33:$D$37</c:f>
              <c:numCache>
                <c:formatCode>0%</c:formatCode>
                <c:ptCount val="5"/>
                <c:pt idx="0">
                  <c:v>0.11244986377510277</c:v>
                </c:pt>
                <c:pt idx="1">
                  <c:v>0.60254981537013563</c:v>
                </c:pt>
                <c:pt idx="2">
                  <c:v>0.21290384140864338</c:v>
                </c:pt>
                <c:pt idx="3">
                  <c:v>7.2096479446118286E-2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F1-4DE5-8375-5C555653AEA1}"/>
            </c:ext>
          </c:extLst>
        </c:ser>
        <c:ser>
          <c:idx val="1"/>
          <c:order val="1"/>
          <c:tx>
            <c:strRef>
              <c:f>'Summary Graphs'!$E$32</c:f>
              <c:strCache>
                <c:ptCount val="1"/>
                <c:pt idx="0">
                  <c:v>Combined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'Summary Graphs'!$E$33:$E$37</c:f>
              <c:numCache>
                <c:formatCode>0%</c:formatCode>
                <c:ptCount val="5"/>
                <c:pt idx="0">
                  <c:v>0.15541110709094319</c:v>
                </c:pt>
                <c:pt idx="1">
                  <c:v>0.6025499182652283</c:v>
                </c:pt>
                <c:pt idx="2">
                  <c:v>0.19131918631714806</c:v>
                </c:pt>
                <c:pt idx="3">
                  <c:v>5.0719788326680518E-2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F1-4DE5-8375-5C555653A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0358752"/>
        <c:axId val="1300355008"/>
      </c:barChart>
      <c:catAx>
        <c:axId val="130035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355008"/>
        <c:crosses val="autoZero"/>
        <c:auto val="1"/>
        <c:lblAlgn val="ctr"/>
        <c:lblOffset val="100"/>
        <c:noMultiLvlLbl val="0"/>
      </c:catAx>
      <c:valAx>
        <c:axId val="130035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35875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Graphs'!$D$44</c:f>
              <c:strCache>
                <c:ptCount val="1"/>
                <c:pt idx="0">
                  <c:v>Existing</c:v>
                </c:pt>
              </c:strCache>
            </c:strRef>
          </c:tx>
          <c:invertIfNegative val="0"/>
          <c:cat>
            <c:strRef>
              <c:f>'Summary Graphs'!$C$45:$C$49</c:f>
              <c:strCache>
                <c:ptCount val="5"/>
                <c:pt idx="0">
                  <c:v>Top 3</c:v>
                </c:pt>
                <c:pt idx="1">
                  <c:v>Top 4</c:v>
                </c:pt>
                <c:pt idx="2">
                  <c:v>Top 5</c:v>
                </c:pt>
                <c:pt idx="3">
                  <c:v>Top 6</c:v>
                </c:pt>
                <c:pt idx="4">
                  <c:v>Top 7</c:v>
                </c:pt>
              </c:strCache>
            </c:strRef>
          </c:cat>
          <c:val>
            <c:numRef>
              <c:f>'Summary Graphs'!$D$45:$D$49</c:f>
              <c:numCache>
                <c:formatCode>0.00%</c:formatCode>
                <c:ptCount val="5"/>
                <c:pt idx="0">
                  <c:v>0.21335888361477545</c:v>
                </c:pt>
                <c:pt idx="1">
                  <c:v>0.25722767425726983</c:v>
                </c:pt>
                <c:pt idx="2">
                  <c:v>0.29761408079289536</c:v>
                </c:pt>
                <c:pt idx="3">
                  <c:v>0.33501156753555039</c:v>
                </c:pt>
                <c:pt idx="4">
                  <c:v>0.37142250434707474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0-4564-9CDC-106EFD3547AD}"/>
            </c:ext>
          </c:extLst>
        </c:ser>
        <c:ser>
          <c:idx val="2"/>
          <c:order val="2"/>
          <c:tx>
            <c:strRef>
              <c:f>'Summary Graphs'!$E$44</c:f>
              <c:strCache>
                <c:ptCount val="1"/>
                <c:pt idx="0">
                  <c:v>Combined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'Summary Graphs'!$E$45:$E$49</c:f>
              <c:numCache>
                <c:formatCode>0.00%</c:formatCode>
                <c:ptCount val="5"/>
                <c:pt idx="0">
                  <c:v>0.18343298862311239</c:v>
                </c:pt>
                <c:pt idx="1">
                  <c:v>0.21912229495855151</c:v>
                </c:pt>
                <c:pt idx="2">
                  <c:v>0.25250121754146793</c:v>
                </c:pt>
                <c:pt idx="3">
                  <c:v>0.28404812269609336</c:v>
                </c:pt>
                <c:pt idx="4">
                  <c:v>0.31499502410455854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90-4564-9CDC-106EFD354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59064704"/>
        <c:axId val="1459066368"/>
      </c:barChart>
      <c:lineChart>
        <c:grouping val="standard"/>
        <c:varyColors val="0"/>
        <c:ser>
          <c:idx val="1"/>
          <c:order val="1"/>
          <c:tx>
            <c:v>Limit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 cmpd="sng">
                <a:solidFill>
                  <a:srgbClr val="FF0000">
                    <a:alpha val="76000"/>
                  </a:srgbClr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CB90-4564-9CDC-106EFD3547AD}"/>
              </c:ext>
            </c:extLst>
          </c:dPt>
          <c:cat>
            <c:strRef>
              <c:f>'Summary Graphs'!$C$45:$C$49</c:f>
              <c:strCache>
                <c:ptCount val="5"/>
                <c:pt idx="0">
                  <c:v>Top 3</c:v>
                </c:pt>
                <c:pt idx="1">
                  <c:v>Top 4</c:v>
                </c:pt>
                <c:pt idx="2">
                  <c:v>Top 5</c:v>
                </c:pt>
                <c:pt idx="3">
                  <c:v>Top 6</c:v>
                </c:pt>
                <c:pt idx="4">
                  <c:v>Top 7</c:v>
                </c:pt>
              </c:strCache>
            </c:strRef>
          </c:cat>
          <c:val>
            <c:numRef>
              <c:f>'Summary Graphs'!$B$45:$B$49</c:f>
              <c:numCache>
                <c:formatCode>0%</c:formatCode>
                <c:ptCount val="5"/>
                <c:pt idx="0">
                  <c:v>0.22</c:v>
                </c:pt>
                <c:pt idx="1">
                  <c:v>0.27</c:v>
                </c:pt>
                <c:pt idx="2">
                  <c:v>0.32</c:v>
                </c:pt>
                <c:pt idx="3">
                  <c:v>0.36</c:v>
                </c:pt>
                <c:pt idx="4">
                  <c:v>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90-4564-9CDC-106EFD354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064704"/>
        <c:axId val="1459066368"/>
      </c:lineChart>
      <c:catAx>
        <c:axId val="145906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9066368"/>
        <c:crosses val="autoZero"/>
        <c:auto val="1"/>
        <c:lblAlgn val="ctr"/>
        <c:lblOffset val="100"/>
        <c:noMultiLvlLbl val="0"/>
      </c:catAx>
      <c:valAx>
        <c:axId val="145906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9064704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'Summary Graphs'!$B$58</c:f>
          <c:strCache>
            <c:ptCount val="1"/>
            <c:pt idx="0">
              <c:v>Geographical Concentration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1"/>
          <c:order val="0"/>
          <c:tx>
            <c:strRef>
              <c:f>'Summary Graphs'!$D$58</c:f>
              <c:strCache>
                <c:ptCount val="1"/>
                <c:pt idx="0">
                  <c:v>Existing</c:v>
                </c:pt>
              </c:strCache>
            </c:strRef>
          </c:tx>
          <c:cat>
            <c:strRef>
              <c:f>'Summary Graphs'!$C$59:$C$63</c:f>
              <c:strCache>
                <c:ptCount val="5"/>
                <c:pt idx="0">
                  <c:v>GP</c:v>
                </c:pt>
                <c:pt idx="1">
                  <c:v>FS</c:v>
                </c:pt>
                <c:pt idx="2">
                  <c:v>KZN</c:v>
                </c:pt>
                <c:pt idx="3">
                  <c:v>EC</c:v>
                </c:pt>
                <c:pt idx="4">
                  <c:v>WC</c:v>
                </c:pt>
              </c:strCache>
            </c:strRef>
          </c:cat>
          <c:val>
            <c:numRef>
              <c:f>'Summary Graphs'!$D$59:$D$63</c:f>
              <c:numCache>
                <c:formatCode>0.00%</c:formatCode>
                <c:ptCount val="5"/>
                <c:pt idx="0">
                  <c:v>0.58307425140687963</c:v>
                </c:pt>
                <c:pt idx="1">
                  <c:v>3.2231395599821827E-2</c:v>
                </c:pt>
                <c:pt idx="2">
                  <c:v>0.28697329660882659</c:v>
                </c:pt>
                <c:pt idx="3">
                  <c:v>9.054895383910852E-2</c:v>
                </c:pt>
                <c:pt idx="4">
                  <c:v>7.1721025453638423E-3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1F-4B3A-882A-3506DCCFEA8A}"/>
            </c:ext>
          </c:extLst>
        </c:ser>
        <c:ser>
          <c:idx val="0"/>
          <c:order val="1"/>
          <c:tx>
            <c:strRef>
              <c:f>'Summary Graphs'!$E$58</c:f>
              <c:strCache>
                <c:ptCount val="1"/>
                <c:pt idx="0">
                  <c:v>Combined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71F-4B3A-882A-3506DCCFEA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71F-4B3A-882A-3506DCCFEA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71F-4B3A-882A-3506DCCFEA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71F-4B3A-882A-3506DCCFEA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71F-4B3A-882A-3506DCCFEA8A}"/>
              </c:ext>
            </c:extLst>
          </c:dPt>
          <c:cat>
            <c:strRef>
              <c:f>'Summary Graphs'!$C$59:$C$63</c:f>
              <c:strCache>
                <c:ptCount val="5"/>
                <c:pt idx="0">
                  <c:v>GP</c:v>
                </c:pt>
                <c:pt idx="1">
                  <c:v>FS</c:v>
                </c:pt>
                <c:pt idx="2">
                  <c:v>KZN</c:v>
                </c:pt>
                <c:pt idx="3">
                  <c:v>EC</c:v>
                </c:pt>
                <c:pt idx="4">
                  <c:v>WC</c:v>
                </c:pt>
              </c:strCache>
            </c:strRef>
          </c:cat>
          <c:val>
            <c:numRef>
              <c:f>'Summary Graphs'!$E$59:$E$63</c:f>
              <c:numCache>
                <c:formatCode>0.00%</c:formatCode>
                <c:ptCount val="5"/>
                <c:pt idx="0">
                  <c:v>0.65978708491954119</c:v>
                </c:pt>
                <c:pt idx="1">
                  <c:v>3.1892124652414061E-2</c:v>
                </c:pt>
                <c:pt idx="2">
                  <c:v>0.18647308417995739</c:v>
                </c:pt>
                <c:pt idx="3">
                  <c:v>0.10490556897932853</c:v>
                </c:pt>
                <c:pt idx="4">
                  <c:v>1.6942137268759136E-2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71F-4B3A-882A-3506DCCFE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524933</xdr:colOff>
      <xdr:row>9</xdr:row>
      <xdr:rowOff>126999</xdr:rowOff>
    </xdr:from>
    <xdr:to>
      <xdr:col>16</xdr:col>
      <xdr:colOff>499532</xdr:colOff>
      <xdr:row>19</xdr:row>
      <xdr:rowOff>67732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83F7F4-6D22-49FC-9E3A-D724C6009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511808</xdr:colOff>
      <xdr:row>20</xdr:row>
      <xdr:rowOff>1904</xdr:rowOff>
    </xdr:from>
    <xdr:to>
      <xdr:col>16</xdr:col>
      <xdr:colOff>507999</xdr:colOff>
      <xdr:row>30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BA376B-9FE1-4F7E-895A-9F04BD394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516466</xdr:colOff>
      <xdr:row>30</xdr:row>
      <xdr:rowOff>110067</xdr:rowOff>
    </xdr:from>
    <xdr:to>
      <xdr:col>16</xdr:col>
      <xdr:colOff>491066</xdr:colOff>
      <xdr:row>40</xdr:row>
      <xdr:rowOff>143933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76AF814-B0C0-4285-ADFE-906152743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516465</xdr:colOff>
      <xdr:row>41</xdr:row>
      <xdr:rowOff>127000</xdr:rowOff>
    </xdr:from>
    <xdr:to>
      <xdr:col>16</xdr:col>
      <xdr:colOff>491066</xdr:colOff>
      <xdr:row>53</xdr:row>
      <xdr:rowOff>160867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6662B7F-6FB2-4527-B0CC-8857FFB50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59265</xdr:colOff>
      <xdr:row>57</xdr:row>
      <xdr:rowOff>0</xdr:rowOff>
    </xdr:from>
    <xdr:to>
      <xdr:col>16</xdr:col>
      <xdr:colOff>524933</xdr:colOff>
      <xdr:row>72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670BBF2-9660-4726-A94C-26377039E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C1982-FFBA-4760-B0C2-9E0AFDE09DD6}">
  <dimension ref="B1:G64"/>
  <sheetViews>
    <sheetView tabSelected="1" zoomScale="90" zoomScaleNormal="90" workbookViewId="0">
      <selection activeCell="D8" sqref="D8"/>
    </sheetView>
  </sheetViews>
  <sheetFormatPr defaultRowHeight="13.8" x14ac:dyDescent="0.3"/>
  <cols>
    <col min="1" max="1" width="8.88671875" style="4"/>
    <col min="2" max="2" width="25.6640625" style="4" bestFit="1" customWidth="1"/>
    <col min="3" max="3" width="8.88671875" style="4"/>
    <col min="4" max="5" width="16.33203125" style="4" bestFit="1" customWidth="1"/>
    <col min="6" max="6" width="12.5546875" style="4" bestFit="1" customWidth="1"/>
    <col min="7" max="7" width="12" style="4" bestFit="1" customWidth="1"/>
    <col min="8" max="16384" width="8.88671875" style="4"/>
  </cols>
  <sheetData>
    <row r="1" spans="2:7" ht="14.4" thickBot="1" x14ac:dyDescent="0.35"/>
    <row r="2" spans="2:7" x14ac:dyDescent="0.3">
      <c r="B2" s="50"/>
      <c r="C2" s="49"/>
      <c r="D2" s="48" t="s">
        <v>23</v>
      </c>
      <c r="E2" s="48" t="s">
        <v>138</v>
      </c>
    </row>
    <row r="3" spans="2:7" x14ac:dyDescent="0.3">
      <c r="B3" s="43" t="s">
        <v>137</v>
      </c>
      <c r="D3" s="47">
        <f>Existing!$H$123</f>
        <v>645001717.52149999</v>
      </c>
      <c r="E3" s="47">
        <f>Combined!$H191</f>
        <v>1144838552.0855</v>
      </c>
      <c r="F3" s="46"/>
      <c r="G3" s="51"/>
    </row>
    <row r="4" spans="2:7" x14ac:dyDescent="0.3">
      <c r="B4" s="43" t="s">
        <v>136</v>
      </c>
      <c r="D4" s="45">
        <f>Existing!$I$123</f>
        <v>111</v>
      </c>
      <c r="E4" s="45">
        <f>Combined!$I191</f>
        <v>184</v>
      </c>
    </row>
    <row r="5" spans="2:7" ht="14.4" customHeight="1" x14ac:dyDescent="0.3">
      <c r="B5" s="43" t="s">
        <v>135</v>
      </c>
      <c r="D5" s="54">
        <f>Existing!$I$128</f>
        <v>8.272391080605368E-2</v>
      </c>
      <c r="E5" s="54">
        <f>Combined!$I196</f>
        <v>0.14682340696319124</v>
      </c>
      <c r="F5" s="24"/>
    </row>
    <row r="6" spans="2:7" x14ac:dyDescent="0.3">
      <c r="B6" s="43" t="s">
        <v>27</v>
      </c>
      <c r="D6" s="44">
        <f>Existing!$I$129</f>
        <v>36.425101181876855</v>
      </c>
      <c r="E6" s="44">
        <f>Combined!$I197</f>
        <v>34.929748772993378</v>
      </c>
    </row>
    <row r="7" spans="2:7" x14ac:dyDescent="0.3">
      <c r="B7" s="43" t="s">
        <v>134</v>
      </c>
      <c r="D7" s="42">
        <f>Existing!$I$130</f>
        <v>6.8845640919742684E-2</v>
      </c>
      <c r="E7" s="42">
        <f>Combined!$I198</f>
        <v>6.7827270433853962E-2</v>
      </c>
    </row>
    <row r="8" spans="2:7" ht="14.4" thickBot="1" x14ac:dyDescent="0.35">
      <c r="B8" s="41" t="s">
        <v>29</v>
      </c>
      <c r="C8" s="40"/>
      <c r="D8" s="39">
        <f>Existing!$I131</f>
        <v>0.5832955979665666</v>
      </c>
      <c r="E8" s="39">
        <f>Combined!$I$199</f>
        <v>0.58030458656823591</v>
      </c>
    </row>
    <row r="9" spans="2:7" x14ac:dyDescent="0.3">
      <c r="B9" s="16"/>
    </row>
    <row r="12" spans="2:7" x14ac:dyDescent="0.3">
      <c r="B12" s="16" t="s">
        <v>30</v>
      </c>
      <c r="D12" s="15" t="str">
        <f>$D$2</f>
        <v>Existing</v>
      </c>
      <c r="E12" s="15" t="str">
        <f>$E$2</f>
        <v>Combined</v>
      </c>
    </row>
    <row r="13" spans="2:7" x14ac:dyDescent="0.3">
      <c r="B13" s="30"/>
      <c r="C13" s="22" t="s">
        <v>31</v>
      </c>
      <c r="D13" s="38">
        <f>Existing!$I$134</f>
        <v>1.670837634574325E-2</v>
      </c>
      <c r="E13" s="38">
        <f>Combined!$I202</f>
        <v>5.5601405162363955E-2</v>
      </c>
    </row>
    <row r="14" spans="2:7" x14ac:dyDescent="0.3">
      <c r="B14" s="28"/>
      <c r="C14" s="35" t="s">
        <v>32</v>
      </c>
      <c r="D14" s="37">
        <f>Existing!$I$135</f>
        <v>7.4082150043123296E-2</v>
      </c>
      <c r="E14" s="37">
        <f>Combined!$I203</f>
        <v>2.3578508363757505E-2</v>
      </c>
    </row>
    <row r="15" spans="2:7" x14ac:dyDescent="0.3">
      <c r="B15" s="28"/>
      <c r="C15" s="35" t="s">
        <v>33</v>
      </c>
      <c r="D15" s="37">
        <f>Existing!$I$136</f>
        <v>8.9740238465443448E-2</v>
      </c>
      <c r="E15" s="37">
        <f>Combined!$I204</f>
        <v>0.13629605208328688</v>
      </c>
    </row>
    <row r="16" spans="2:7" x14ac:dyDescent="0.3">
      <c r="B16" s="28"/>
      <c r="C16" s="35" t="s">
        <v>34</v>
      </c>
      <c r="D16" s="37">
        <f>Existing!$I$137</f>
        <v>0.25454076678412457</v>
      </c>
      <c r="E16" s="37">
        <f>Combined!$I205</f>
        <v>0.24937700722510098</v>
      </c>
    </row>
    <row r="17" spans="2:5" x14ac:dyDescent="0.3">
      <c r="B17" s="28"/>
      <c r="C17" s="35" t="s">
        <v>35</v>
      </c>
      <c r="D17" s="37">
        <f>Existing!$I$138</f>
        <v>0.39270404217420901</v>
      </c>
      <c r="E17" s="37">
        <f>Combined!$I206</f>
        <v>0.34280874659407035</v>
      </c>
    </row>
    <row r="18" spans="2:5" x14ac:dyDescent="0.3">
      <c r="B18" s="28"/>
      <c r="C18" s="35" t="s">
        <v>36</v>
      </c>
      <c r="D18" s="37">
        <f>Existing!$I$139</f>
        <v>0.17222442618735642</v>
      </c>
      <c r="E18" s="37">
        <f>Combined!$I207</f>
        <v>0.19233828057142033</v>
      </c>
    </row>
    <row r="19" spans="2:5" x14ac:dyDescent="0.3">
      <c r="B19" s="26"/>
      <c r="C19" s="33" t="s">
        <v>37</v>
      </c>
      <c r="D19" s="25">
        <f>Existing!$I$140</f>
        <v>0</v>
      </c>
      <c r="E19" s="25">
        <f>Combined!$I208</f>
        <v>0</v>
      </c>
    </row>
    <row r="20" spans="2:5" x14ac:dyDescent="0.3">
      <c r="D20" s="17">
        <f>SUM(D13:D19)</f>
        <v>1</v>
      </c>
      <c r="E20" s="17">
        <f>SUM(E13:E19)</f>
        <v>1</v>
      </c>
    </row>
    <row r="21" spans="2:5" x14ac:dyDescent="0.3">
      <c r="C21" s="16" t="s">
        <v>132</v>
      </c>
      <c r="D21" s="24">
        <f>MAX(Existing!Q3:Q118)</f>
        <v>0.79299306070754383</v>
      </c>
      <c r="E21" s="24">
        <f>MAX(Combined!Q3:Q186)</f>
        <v>0.79299306070754383</v>
      </c>
    </row>
    <row r="22" spans="2:5" x14ac:dyDescent="0.3">
      <c r="C22" s="16"/>
      <c r="D22" s="24"/>
      <c r="E22" s="24"/>
    </row>
    <row r="23" spans="2:5" x14ac:dyDescent="0.3">
      <c r="B23" s="16" t="s">
        <v>17</v>
      </c>
      <c r="D23" s="15" t="str">
        <f>$D$2</f>
        <v>Existing</v>
      </c>
      <c r="E23" s="15" t="str">
        <f>$E$2</f>
        <v>Combined</v>
      </c>
    </row>
    <row r="24" spans="2:5" x14ac:dyDescent="0.3">
      <c r="B24" s="30"/>
      <c r="C24" s="22" t="s">
        <v>38</v>
      </c>
      <c r="D24" s="36">
        <f>Existing!$I$143</f>
        <v>3.7924060162188064E-2</v>
      </c>
      <c r="E24" s="36">
        <f>Combined!$I211</f>
        <v>0.11469889459242569</v>
      </c>
    </row>
    <row r="25" spans="2:5" x14ac:dyDescent="0.3">
      <c r="B25" s="28"/>
      <c r="C25" s="35" t="s">
        <v>39</v>
      </c>
      <c r="D25" s="34">
        <f>Existing!$I$144</f>
        <v>4.4995801253866576E-2</v>
      </c>
      <c r="E25" s="34">
        <f>Combined!$I212</f>
        <v>5.7342814251329609E-2</v>
      </c>
    </row>
    <row r="26" spans="2:5" x14ac:dyDescent="0.3">
      <c r="B26" s="28"/>
      <c r="C26" s="35" t="s">
        <v>40</v>
      </c>
      <c r="D26" s="34">
        <f>Existing!$I$145</f>
        <v>0.13864516195961774</v>
      </c>
      <c r="E26" s="34">
        <f>Combined!$I213</f>
        <v>0.13134472765271632</v>
      </c>
    </row>
    <row r="27" spans="2:5" x14ac:dyDescent="0.3">
      <c r="B27" s="28"/>
      <c r="C27" s="35" t="s">
        <v>41</v>
      </c>
      <c r="D27" s="34">
        <f>Existing!$I$146</f>
        <v>0.27372584086043927</v>
      </c>
      <c r="E27" s="34">
        <f>Combined!$I214</f>
        <v>0.26070806999318236</v>
      </c>
    </row>
    <row r="28" spans="2:5" x14ac:dyDescent="0.3">
      <c r="B28" s="26"/>
      <c r="C28" s="33" t="s">
        <v>42</v>
      </c>
      <c r="D28" s="32">
        <f>Existing!$I$147</f>
        <v>0.50470913576388854</v>
      </c>
      <c r="E28" s="32">
        <f>Combined!$I215</f>
        <v>0.43590549351034624</v>
      </c>
    </row>
    <row r="29" spans="2:5" x14ac:dyDescent="0.3">
      <c r="D29" s="31"/>
      <c r="E29" s="31"/>
    </row>
    <row r="30" spans="2:5" x14ac:dyDescent="0.3">
      <c r="D30" s="31"/>
      <c r="E30" s="31"/>
    </row>
    <row r="32" spans="2:5" x14ac:dyDescent="0.3">
      <c r="B32" s="16" t="s">
        <v>140</v>
      </c>
      <c r="D32" s="15" t="str">
        <f>$D$2</f>
        <v>Existing</v>
      </c>
      <c r="E32" s="15" t="str">
        <f>$E$2</f>
        <v>Combined</v>
      </c>
    </row>
    <row r="33" spans="2:5" x14ac:dyDescent="0.3">
      <c r="B33" s="30"/>
      <c r="C33" s="30" t="s">
        <v>43</v>
      </c>
      <c r="D33" s="29">
        <f>Existing!$I$151</f>
        <v>0.11244986377510277</v>
      </c>
      <c r="E33" s="29">
        <f>Combined!$I219</f>
        <v>0.15541110709094319</v>
      </c>
    </row>
    <row r="34" spans="2:5" x14ac:dyDescent="0.3">
      <c r="B34" s="28"/>
      <c r="C34" s="28" t="s">
        <v>44</v>
      </c>
      <c r="D34" s="27">
        <f>Existing!$I$152</f>
        <v>0.60254981537013563</v>
      </c>
      <c r="E34" s="27">
        <f>Combined!$I220</f>
        <v>0.6025499182652283</v>
      </c>
    </row>
    <row r="35" spans="2:5" x14ac:dyDescent="0.3">
      <c r="B35" s="28"/>
      <c r="C35" s="28" t="s">
        <v>45</v>
      </c>
      <c r="D35" s="27">
        <f>Existing!$I$153</f>
        <v>0.21290384140864338</v>
      </c>
      <c r="E35" s="27">
        <f>Combined!$I221</f>
        <v>0.19131918631714806</v>
      </c>
    </row>
    <row r="36" spans="2:5" x14ac:dyDescent="0.3">
      <c r="B36" s="28"/>
      <c r="C36" s="28" t="s">
        <v>46</v>
      </c>
      <c r="D36" s="27">
        <f>Existing!$I$154</f>
        <v>7.2096479446118286E-2</v>
      </c>
      <c r="E36" s="27">
        <f>Combined!$I222</f>
        <v>5.0719788326680518E-2</v>
      </c>
    </row>
    <row r="37" spans="2:5" x14ac:dyDescent="0.3">
      <c r="B37" s="26"/>
      <c r="C37" s="26" t="s">
        <v>47</v>
      </c>
      <c r="D37" s="25">
        <f>Existing!$I$155</f>
        <v>0</v>
      </c>
      <c r="E37" s="25">
        <f>Combined!$I223</f>
        <v>0</v>
      </c>
    </row>
    <row r="38" spans="2:5" x14ac:dyDescent="0.3">
      <c r="D38" s="17"/>
      <c r="E38" s="17"/>
    </row>
    <row r="39" spans="2:5" x14ac:dyDescent="0.3">
      <c r="C39" s="16" t="s">
        <v>133</v>
      </c>
      <c r="D39" s="24">
        <f>MIN(Existing!$E$3:$E$118)</f>
        <v>5.4999999999999993E-2</v>
      </c>
      <c r="E39" s="24">
        <f>MIN(Combined!$E$3:$E$186)</f>
        <v>5.4999999999999993E-2</v>
      </c>
    </row>
    <row r="40" spans="2:5" x14ac:dyDescent="0.3">
      <c r="C40" s="16" t="s">
        <v>132</v>
      </c>
      <c r="D40" s="24">
        <f>MAX(Existing!$E$3:$E$118)</f>
        <v>0.09</v>
      </c>
      <c r="E40" s="24">
        <f>MAX(Combined!$E$3:$E$186)</f>
        <v>0.09</v>
      </c>
    </row>
    <row r="41" spans="2:5" x14ac:dyDescent="0.3">
      <c r="D41" s="24"/>
      <c r="E41" s="24"/>
    </row>
    <row r="44" spans="2:5" x14ac:dyDescent="0.3">
      <c r="B44" s="16" t="s">
        <v>48</v>
      </c>
      <c r="D44" s="15" t="str">
        <f>$D$2</f>
        <v>Existing</v>
      </c>
      <c r="E44" s="15" t="str">
        <f>$E$2</f>
        <v>Combined</v>
      </c>
    </row>
    <row r="45" spans="2:5" x14ac:dyDescent="0.3">
      <c r="B45" s="23">
        <v>0.22</v>
      </c>
      <c r="C45" s="22" t="s">
        <v>131</v>
      </c>
      <c r="D45" s="12">
        <f>Existing!$J$162</f>
        <v>0.21335888361477545</v>
      </c>
      <c r="E45" s="12">
        <f>Combined!$J230</f>
        <v>0.18343298862311239</v>
      </c>
    </row>
    <row r="46" spans="2:5" x14ac:dyDescent="0.3">
      <c r="B46" s="21">
        <v>0.27</v>
      </c>
      <c r="C46" s="4" t="s">
        <v>130</v>
      </c>
      <c r="D46" s="9">
        <f>Existing!$J$163</f>
        <v>0.25722767425726983</v>
      </c>
      <c r="E46" s="9">
        <f>Combined!$J231</f>
        <v>0.21912229495855151</v>
      </c>
    </row>
    <row r="47" spans="2:5" x14ac:dyDescent="0.3">
      <c r="B47" s="21">
        <v>0.32</v>
      </c>
      <c r="C47" s="4" t="s">
        <v>129</v>
      </c>
      <c r="D47" s="9">
        <f>Existing!$J$164</f>
        <v>0.29761408079289536</v>
      </c>
      <c r="E47" s="9">
        <f>Combined!$J232</f>
        <v>0.25250121754146793</v>
      </c>
    </row>
    <row r="48" spans="2:5" x14ac:dyDescent="0.3">
      <c r="B48" s="21">
        <v>0.36</v>
      </c>
      <c r="C48" s="4" t="s">
        <v>128</v>
      </c>
      <c r="D48" s="9">
        <f>Existing!$J$165</f>
        <v>0.33501156753555039</v>
      </c>
      <c r="E48" s="9">
        <f>Combined!$J233</f>
        <v>0.28404812269609336</v>
      </c>
    </row>
    <row r="49" spans="2:5" x14ac:dyDescent="0.3">
      <c r="B49" s="20">
        <v>0.47</v>
      </c>
      <c r="C49" s="19" t="s">
        <v>127</v>
      </c>
      <c r="D49" s="6">
        <f>Existing!$J$166</f>
        <v>0.37142250434707474</v>
      </c>
      <c r="E49" s="6">
        <f>Combined!$J234</f>
        <v>0.31499502410455854</v>
      </c>
    </row>
    <row r="50" spans="2:5" x14ac:dyDescent="0.3">
      <c r="D50" s="18"/>
      <c r="E50" s="18"/>
    </row>
    <row r="51" spans="2:5" x14ac:dyDescent="0.3">
      <c r="D51" s="17"/>
      <c r="E51" s="17"/>
    </row>
    <row r="58" spans="2:5" x14ac:dyDescent="0.3">
      <c r="B58" s="16" t="s">
        <v>49</v>
      </c>
      <c r="D58" s="15" t="str">
        <f>$D$2</f>
        <v>Existing</v>
      </c>
      <c r="E58" s="15" t="str">
        <f>$E$2</f>
        <v>Combined</v>
      </c>
    </row>
    <row r="59" spans="2:5" x14ac:dyDescent="0.3">
      <c r="B59" s="14"/>
      <c r="C59" s="13" t="s">
        <v>52</v>
      </c>
      <c r="D59" s="12">
        <f>SUMIF(Existing!$F$171:$F$189,'Summary Graphs'!$C59,Existing!$I$171:$I$189)</f>
        <v>0.58307425140687963</v>
      </c>
      <c r="E59" s="12">
        <f>SUMIF(Combined!$F$239:$F$257,'Summary Graphs'!$C59,Combined!$I$239:$I$257)</f>
        <v>0.65978708491954119</v>
      </c>
    </row>
    <row r="60" spans="2:5" x14ac:dyDescent="0.3">
      <c r="B60" s="11"/>
      <c r="C60" s="10" t="s">
        <v>63</v>
      </c>
      <c r="D60" s="9">
        <f>SUMIF(Existing!$F$171:$F$189,'Summary Graphs'!$C60,Existing!$I$171:$I$189)</f>
        <v>3.2231395599821827E-2</v>
      </c>
      <c r="E60" s="9">
        <f>SUMIF(Combined!$F$239:$F$257,'Summary Graphs'!$C60,Combined!$I$239:$I$257)</f>
        <v>3.1892124652414061E-2</v>
      </c>
    </row>
    <row r="61" spans="2:5" x14ac:dyDescent="0.3">
      <c r="B61" s="11"/>
      <c r="C61" s="10" t="s">
        <v>66</v>
      </c>
      <c r="D61" s="9">
        <f>SUMIF(Existing!$F$171:$F$189,'Summary Graphs'!$C61,Existing!$I$171:$I$189)</f>
        <v>0.28697329660882659</v>
      </c>
      <c r="E61" s="9">
        <f>SUMIF(Combined!$F$239:$F$257,'Summary Graphs'!$C61,Combined!$I$239:$I$257)</f>
        <v>0.18647308417995739</v>
      </c>
    </row>
    <row r="62" spans="2:5" x14ac:dyDescent="0.3">
      <c r="B62" s="11"/>
      <c r="C62" s="10" t="s">
        <v>69</v>
      </c>
      <c r="D62" s="9">
        <f>SUMIF(Existing!$F$171:$F$189,'Summary Graphs'!$C62,Existing!$I$171:$I$189)</f>
        <v>9.054895383910852E-2</v>
      </c>
      <c r="E62" s="9">
        <f>SUMIF(Combined!$F$239:$F$257,'Summary Graphs'!$C62,Combined!$I$239:$I$257)</f>
        <v>0.10490556897932853</v>
      </c>
    </row>
    <row r="63" spans="2:5" x14ac:dyDescent="0.3">
      <c r="B63" s="8"/>
      <c r="C63" s="7" t="s">
        <v>74</v>
      </c>
      <c r="D63" s="6">
        <f>SUMIF(Existing!$F$171:$F$189,'Summary Graphs'!$C63,Existing!$I$171:$I$189)</f>
        <v>7.1721025453638423E-3</v>
      </c>
      <c r="E63" s="6">
        <f>SUMIF(Combined!$F$239:$F$257,'Summary Graphs'!$C63,Combined!$I$239:$I$257)</f>
        <v>1.6942137268759136E-2</v>
      </c>
    </row>
    <row r="64" spans="2:5" x14ac:dyDescent="0.3">
      <c r="D64" s="5"/>
      <c r="E64" s="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A062-417E-4D3D-9DCA-D37FC4B604C1}">
  <sheetPr>
    <pageSetUpPr fitToPage="1"/>
  </sheetPr>
  <dimension ref="A1:AG259"/>
  <sheetViews>
    <sheetView zoomScale="85" zoomScaleNormal="85" workbookViewId="0">
      <pane xSplit="1" ySplit="2" topLeftCell="B246" activePane="bottomRight" state="frozen"/>
      <selection activeCell="B1" sqref="B1:B1048576"/>
      <selection pane="topRight" activeCell="B1" sqref="B1:B1048576"/>
      <selection pane="bottomLeft" activeCell="B1" sqref="B1:B1048576"/>
      <selection pane="bottomRight" activeCell="D50" sqref="D50"/>
    </sheetView>
  </sheetViews>
  <sheetFormatPr defaultColWidth="4" defaultRowHeight="14.4" x14ac:dyDescent="0.3"/>
  <cols>
    <col min="1" max="1" width="6.21875" style="55" bestFit="1" customWidth="1"/>
    <col min="2" max="2" width="15.44140625" style="56" bestFit="1" customWidth="1"/>
    <col min="3" max="3" width="9.109375" style="56" customWidth="1"/>
    <col min="4" max="5" width="15" style="56" customWidth="1"/>
    <col min="6" max="6" width="7.88671875" style="56" bestFit="1" customWidth="1"/>
    <col min="7" max="7" width="14.33203125" style="57" bestFit="1" customWidth="1"/>
    <col min="8" max="8" width="21.88671875" style="57" bestFit="1" customWidth="1"/>
    <col min="9" max="9" width="11.88671875" style="56" bestFit="1" customWidth="1"/>
    <col min="10" max="10" width="16" style="58" customWidth="1"/>
    <col min="11" max="11" width="12.21875" style="58" bestFit="1" customWidth="1"/>
    <col min="12" max="12" width="12.21875" style="58" customWidth="1"/>
    <col min="13" max="13" width="21.6640625" style="56" bestFit="1" customWidth="1"/>
    <col min="14" max="14" width="22" style="56" customWidth="1"/>
    <col min="15" max="15" width="12.77734375" style="77" bestFit="1" customWidth="1"/>
    <col min="16" max="16" width="13.88671875" style="78" customWidth="1"/>
    <col min="17" max="17" width="12.5546875" style="59" customWidth="1"/>
    <col min="18" max="18" width="7.88671875" style="60" customWidth="1"/>
    <col min="19" max="19" width="9.5546875" style="56" customWidth="1"/>
    <col min="20" max="20" width="11.88671875" style="56" customWidth="1"/>
    <col min="21" max="21" width="18.109375" style="56" bestFit="1" customWidth="1"/>
    <col min="22" max="22" width="12.44140625" style="56" customWidth="1"/>
    <col min="23" max="23" width="9.44140625" style="56" customWidth="1"/>
    <col min="24" max="24" width="9.5546875" style="61" customWidth="1"/>
    <col min="25" max="25" width="7.6640625" style="61" customWidth="1"/>
    <col min="26" max="26" width="12.5546875" style="61" customWidth="1"/>
    <col min="27" max="27" width="13.6640625" style="56" customWidth="1"/>
    <col min="28" max="28" width="9.21875" style="56" customWidth="1"/>
    <col min="29" max="29" width="6.21875" style="56" bestFit="1" customWidth="1"/>
    <col min="30" max="30" width="4" style="56"/>
    <col min="31" max="31" width="6.21875" style="56" bestFit="1" customWidth="1"/>
    <col min="32" max="32" width="4" style="56"/>
    <col min="33" max="33" width="6.88671875" style="56" bestFit="1" customWidth="1"/>
    <col min="34" max="16384" width="4" style="56"/>
  </cols>
  <sheetData>
    <row r="1" spans="1:33" ht="18.600000000000001" hidden="1" customHeight="1" x14ac:dyDescent="0.3">
      <c r="A1" s="55">
        <v>1</v>
      </c>
      <c r="B1" s="56">
        <v>25</v>
      </c>
      <c r="C1" s="56">
        <v>42</v>
      </c>
      <c r="D1" s="56">
        <v>7</v>
      </c>
      <c r="G1" s="56">
        <v>31</v>
      </c>
      <c r="H1" s="57">
        <v>30</v>
      </c>
      <c r="J1" s="56">
        <v>23</v>
      </c>
      <c r="M1" s="56">
        <v>21</v>
      </c>
      <c r="N1" s="56">
        <v>22</v>
      </c>
      <c r="O1" s="56">
        <v>16</v>
      </c>
      <c r="P1" s="56">
        <v>13</v>
      </c>
      <c r="S1" s="56">
        <v>41</v>
      </c>
      <c r="V1" s="56">
        <v>10</v>
      </c>
      <c r="Z1" s="62">
        <v>44500</v>
      </c>
      <c r="AA1" s="55">
        <v>10</v>
      </c>
      <c r="AB1" s="55"/>
    </row>
    <row r="2" spans="1:33" s="65" customFormat="1" ht="40.200000000000003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139</v>
      </c>
      <c r="F2" s="2" t="s">
        <v>4</v>
      </c>
      <c r="G2" s="63" t="s">
        <v>5</v>
      </c>
      <c r="H2" s="63" t="s">
        <v>6</v>
      </c>
      <c r="I2" s="63" t="s">
        <v>7</v>
      </c>
      <c r="J2" s="2" t="s">
        <v>8</v>
      </c>
      <c r="K2" s="2" t="s">
        <v>9</v>
      </c>
      <c r="L2" s="2" t="s">
        <v>126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1" t="s">
        <v>19</v>
      </c>
      <c r="W2" s="2" t="s">
        <v>20</v>
      </c>
      <c r="X2" s="64" t="s">
        <v>15</v>
      </c>
      <c r="Y2" s="64" t="s">
        <v>14</v>
      </c>
      <c r="Z2" s="64" t="s">
        <v>17</v>
      </c>
      <c r="AA2" s="65" t="s">
        <v>21</v>
      </c>
      <c r="AB2" s="65" t="s">
        <v>22</v>
      </c>
      <c r="AC2" s="56"/>
    </row>
    <row r="3" spans="1:33" x14ac:dyDescent="0.3">
      <c r="A3" s="3">
        <v>555</v>
      </c>
      <c r="B3" s="67">
        <v>8089</v>
      </c>
      <c r="C3" s="52">
        <v>0.09</v>
      </c>
      <c r="D3" s="56" t="s">
        <v>76</v>
      </c>
      <c r="E3" s="52">
        <f>C3-IF(D3="Prime",7%-3.5%,3.675%)</f>
        <v>5.4999999999999993E-2</v>
      </c>
      <c r="F3" s="56">
        <f t="shared" ref="F3:F34" si="0">I3-T3</f>
        <v>23</v>
      </c>
      <c r="G3" s="56">
        <v>38423.58</v>
      </c>
      <c r="H3" s="56">
        <v>406449.76</v>
      </c>
      <c r="I3" s="56">
        <v>180</v>
      </c>
      <c r="J3" s="58">
        <v>39326</v>
      </c>
      <c r="K3" s="58">
        <v>39722</v>
      </c>
      <c r="L3" s="56">
        <v>5488746.0499999998</v>
      </c>
      <c r="M3" s="66" t="s">
        <v>53</v>
      </c>
      <c r="N3" s="66" t="s">
        <v>77</v>
      </c>
      <c r="O3" s="56">
        <v>8485974.4499999993</v>
      </c>
      <c r="P3" s="56">
        <v>6050813.96</v>
      </c>
      <c r="Q3" s="68">
        <f>$H3/$U3</f>
        <v>2.4827963491142586E-2</v>
      </c>
      <c r="R3" s="69">
        <f t="shared" ref="R3:R34" si="1">P3/O3</f>
        <v>0.71303702310817119</v>
      </c>
      <c r="S3" s="56">
        <v>0</v>
      </c>
      <c r="T3" s="56">
        <f t="shared" ref="T3:T34" si="2">+DATEDIF(EOMONTH($K3,-1),$Z$1+1,"M")</f>
        <v>157</v>
      </c>
      <c r="U3" s="56">
        <v>16370644.34</v>
      </c>
      <c r="V3" s="70" t="s">
        <v>124</v>
      </c>
      <c r="W3" s="56" t="b">
        <v>0</v>
      </c>
      <c r="X3" s="71">
        <f t="shared" ref="X3:X34" si="3">+P3/O3</f>
        <v>0.71303702310817119</v>
      </c>
      <c r="Y3" s="71">
        <f t="shared" ref="Y3:Y34" si="4">+H3/U3</f>
        <v>2.4827963491142586E-2</v>
      </c>
      <c r="Z3" s="61">
        <f t="shared" ref="Z3:Z34" si="5">+DATEDIF(EOMONTH(K3,-1),$Z$1+1,"M")</f>
        <v>157</v>
      </c>
      <c r="AA3" s="58">
        <v>0</v>
      </c>
      <c r="AB3" s="61" t="str">
        <f>IFERROR(IF(DATEDIF($Z$1+1,EOMONTH(AA3,-1),"M")&gt;0,"Yes","No"),"No")</f>
        <v>No</v>
      </c>
      <c r="AG3" s="56" t="b">
        <v>1</v>
      </c>
    </row>
    <row r="4" spans="1:33" x14ac:dyDescent="0.3">
      <c r="A4" s="3">
        <v>922</v>
      </c>
      <c r="B4" s="67">
        <v>8155</v>
      </c>
      <c r="C4" s="52">
        <v>0.11</v>
      </c>
      <c r="D4" s="56" t="s">
        <v>76</v>
      </c>
      <c r="E4" s="52">
        <f t="shared" ref="E4:E67" si="6">C4-IF(D4="Prime",7%-3.5%,3.675%)</f>
        <v>7.4999999999999997E-2</v>
      </c>
      <c r="F4" s="56">
        <f t="shared" si="0"/>
        <v>59</v>
      </c>
      <c r="G4" s="56">
        <v>121649.72</v>
      </c>
      <c r="H4" s="56">
        <v>4084834.65</v>
      </c>
      <c r="I4" s="56">
        <v>180</v>
      </c>
      <c r="J4" s="58">
        <v>40210</v>
      </c>
      <c r="K4" s="58">
        <v>40817</v>
      </c>
      <c r="L4" s="56">
        <v>7610818.9500000002</v>
      </c>
      <c r="M4" s="66" t="s">
        <v>53</v>
      </c>
      <c r="N4" s="66" t="s">
        <v>78</v>
      </c>
      <c r="O4" s="56">
        <v>5756247.6200000001</v>
      </c>
      <c r="P4" s="56">
        <v>4104431</v>
      </c>
      <c r="Q4" s="68">
        <f t="shared" ref="Q4:Q67" si="7">$H4/$U4</f>
        <v>0.28037309251066728</v>
      </c>
      <c r="R4" s="69">
        <f t="shared" si="1"/>
        <v>0.71303933933266062</v>
      </c>
      <c r="S4" s="56">
        <v>0</v>
      </c>
      <c r="T4" s="56">
        <f t="shared" si="2"/>
        <v>121</v>
      </c>
      <c r="U4" s="56">
        <v>14569282</v>
      </c>
      <c r="V4" s="70" t="s">
        <v>124</v>
      </c>
      <c r="W4" s="56" t="b">
        <v>0</v>
      </c>
      <c r="X4" s="71">
        <f t="shared" si="3"/>
        <v>0.71303933933266062</v>
      </c>
      <c r="Y4" s="71">
        <f t="shared" si="4"/>
        <v>0.28037309251066728</v>
      </c>
      <c r="Z4" s="61">
        <f t="shared" si="5"/>
        <v>121</v>
      </c>
      <c r="AA4" s="58">
        <v>0</v>
      </c>
      <c r="AB4" s="61" t="str">
        <f t="shared" ref="AB4:AB66" si="8">IFERROR(IF(DATEDIF($Z$1+1,EOMONTH(AA4,-1),"M")&gt;0,"Yes","No"),"No")</f>
        <v>No</v>
      </c>
      <c r="AG4" s="56" t="b">
        <v>1</v>
      </c>
    </row>
    <row r="5" spans="1:33" x14ac:dyDescent="0.3">
      <c r="A5" s="3">
        <v>993</v>
      </c>
      <c r="B5" s="67">
        <v>8105</v>
      </c>
      <c r="C5" s="52">
        <v>9.5000000000000001E-2</v>
      </c>
      <c r="D5" s="56" t="s">
        <v>76</v>
      </c>
      <c r="E5" s="52">
        <f t="shared" si="6"/>
        <v>0.06</v>
      </c>
      <c r="F5" s="56">
        <f t="shared" si="0"/>
        <v>61</v>
      </c>
      <c r="G5" s="56">
        <v>132485.17000000001</v>
      </c>
      <c r="H5" s="56">
        <v>5120281.46</v>
      </c>
      <c r="I5" s="56">
        <v>180</v>
      </c>
      <c r="J5" s="58">
        <v>40391</v>
      </c>
      <c r="K5" s="58">
        <v>40878</v>
      </c>
      <c r="L5" s="56">
        <v>11031164.5</v>
      </c>
      <c r="M5" s="66" t="s">
        <v>53</v>
      </c>
      <c r="N5" s="66" t="s">
        <v>78</v>
      </c>
      <c r="O5" s="56">
        <v>15430162.68</v>
      </c>
      <c r="P5" s="56">
        <v>11400940</v>
      </c>
      <c r="Q5" s="68">
        <f t="shared" si="7"/>
        <v>0.15217673916786309</v>
      </c>
      <c r="R5" s="69">
        <f t="shared" si="1"/>
        <v>0.73887360985360651</v>
      </c>
      <c r="S5" s="56">
        <v>0</v>
      </c>
      <c r="T5" s="56">
        <f t="shared" si="2"/>
        <v>119</v>
      </c>
      <c r="U5" s="56">
        <v>33646939</v>
      </c>
      <c r="V5" s="70" t="s">
        <v>124</v>
      </c>
      <c r="W5" s="56" t="b">
        <v>0</v>
      </c>
      <c r="X5" s="71">
        <f t="shared" si="3"/>
        <v>0.73887360985360651</v>
      </c>
      <c r="Y5" s="71">
        <f t="shared" si="4"/>
        <v>0.15217673916786309</v>
      </c>
      <c r="Z5" s="61">
        <f t="shared" si="5"/>
        <v>119</v>
      </c>
      <c r="AA5" s="58">
        <v>0</v>
      </c>
      <c r="AB5" s="61" t="str">
        <f t="shared" si="8"/>
        <v>No</v>
      </c>
      <c r="AG5" s="56" t="b">
        <v>1</v>
      </c>
    </row>
    <row r="6" spans="1:33" x14ac:dyDescent="0.3">
      <c r="A6" s="3">
        <v>1158</v>
      </c>
      <c r="B6" s="67">
        <v>8583</v>
      </c>
      <c r="C6" s="52">
        <v>0.115</v>
      </c>
      <c r="D6" s="56" t="s">
        <v>76</v>
      </c>
      <c r="E6" s="52">
        <f t="shared" si="6"/>
        <v>0.08</v>
      </c>
      <c r="F6" s="56">
        <f t="shared" si="0"/>
        <v>64</v>
      </c>
      <c r="G6" s="56">
        <v>72108.990000000005</v>
      </c>
      <c r="H6" s="56">
        <v>3134890.27</v>
      </c>
      <c r="I6" s="56">
        <v>180</v>
      </c>
      <c r="J6" s="58">
        <v>40909</v>
      </c>
      <c r="K6" s="58">
        <v>40969</v>
      </c>
      <c r="L6" s="56">
        <v>4249210</v>
      </c>
      <c r="M6" s="66" t="s">
        <v>53</v>
      </c>
      <c r="N6" s="66" t="s">
        <v>79</v>
      </c>
      <c r="O6" s="56">
        <v>7057600</v>
      </c>
      <c r="P6" s="56">
        <v>5263734</v>
      </c>
      <c r="Q6" s="68">
        <f t="shared" si="7"/>
        <v>0.34991961278225742</v>
      </c>
      <c r="R6" s="69">
        <f t="shared" si="1"/>
        <v>0.74582492632056219</v>
      </c>
      <c r="S6" s="56">
        <v>0</v>
      </c>
      <c r="T6" s="56">
        <f t="shared" si="2"/>
        <v>116</v>
      </c>
      <c r="U6" s="56">
        <v>8958887</v>
      </c>
      <c r="V6" s="70" t="s">
        <v>124</v>
      </c>
      <c r="W6" s="56" t="b">
        <v>0</v>
      </c>
      <c r="X6" s="71">
        <f t="shared" si="3"/>
        <v>0.74582492632056219</v>
      </c>
      <c r="Y6" s="71">
        <f t="shared" si="4"/>
        <v>0.34991961278225742</v>
      </c>
      <c r="Z6" s="61">
        <f t="shared" si="5"/>
        <v>116</v>
      </c>
      <c r="AA6" s="58">
        <v>0</v>
      </c>
      <c r="AB6" s="61" t="str">
        <f>IFERROR(IF(DATEDIF($Z$1+1,EOMONTH(AA6,-1),"M")&gt;0,"Yes","No"),"No")</f>
        <v>No</v>
      </c>
      <c r="AG6" s="56" t="b">
        <v>1</v>
      </c>
    </row>
    <row r="7" spans="1:33" x14ac:dyDescent="0.3">
      <c r="A7" s="3">
        <v>1225</v>
      </c>
      <c r="B7" s="67">
        <v>8050</v>
      </c>
      <c r="C7" s="52">
        <v>0.11</v>
      </c>
      <c r="D7" s="56" t="s">
        <v>76</v>
      </c>
      <c r="E7" s="52">
        <f t="shared" si="6"/>
        <v>7.4999999999999997E-2</v>
      </c>
      <c r="F7" s="56">
        <f t="shared" si="0"/>
        <v>75</v>
      </c>
      <c r="G7" s="56">
        <v>56936.19</v>
      </c>
      <c r="H7" s="56">
        <v>3069272.88</v>
      </c>
      <c r="I7" s="56">
        <v>180</v>
      </c>
      <c r="J7" s="58">
        <v>41214</v>
      </c>
      <c r="K7" s="58">
        <v>41306</v>
      </c>
      <c r="L7" s="56">
        <v>4476361.2</v>
      </c>
      <c r="M7" s="66" t="s">
        <v>53</v>
      </c>
      <c r="N7" s="66" t="s">
        <v>77</v>
      </c>
      <c r="O7" s="56">
        <v>6220000</v>
      </c>
      <c r="P7" s="56">
        <v>4989818</v>
      </c>
      <c r="Q7" s="68">
        <f t="shared" si="7"/>
        <v>0.33839833296582139</v>
      </c>
      <c r="R7" s="69">
        <f t="shared" si="1"/>
        <v>0.80222154340836016</v>
      </c>
      <c r="S7" s="56">
        <v>0</v>
      </c>
      <c r="T7" s="56">
        <f t="shared" si="2"/>
        <v>105</v>
      </c>
      <c r="U7" s="56">
        <v>9070000</v>
      </c>
      <c r="V7" s="70" t="s">
        <v>124</v>
      </c>
      <c r="W7" s="56" t="b">
        <v>0</v>
      </c>
      <c r="X7" s="71">
        <f t="shared" si="3"/>
        <v>0.80222154340836016</v>
      </c>
      <c r="Y7" s="71">
        <f t="shared" si="4"/>
        <v>0.33839833296582139</v>
      </c>
      <c r="Z7" s="61">
        <f t="shared" si="5"/>
        <v>105</v>
      </c>
      <c r="AA7" s="58">
        <v>44043</v>
      </c>
      <c r="AB7" s="61" t="str">
        <f t="shared" si="8"/>
        <v>No</v>
      </c>
      <c r="AG7" s="56" t="b">
        <v>1</v>
      </c>
    </row>
    <row r="8" spans="1:33" x14ac:dyDescent="0.3">
      <c r="A8" s="3">
        <v>1236</v>
      </c>
      <c r="B8" s="67">
        <v>8823</v>
      </c>
      <c r="C8" s="52">
        <v>0.115</v>
      </c>
      <c r="D8" s="56" t="s">
        <v>76</v>
      </c>
      <c r="E8" s="52">
        <f t="shared" si="6"/>
        <v>0.08</v>
      </c>
      <c r="F8" s="56">
        <f t="shared" si="0"/>
        <v>82</v>
      </c>
      <c r="G8" s="56">
        <v>41470.050000000003</v>
      </c>
      <c r="H8" s="56">
        <v>2246308.46</v>
      </c>
      <c r="I8" s="56">
        <v>180</v>
      </c>
      <c r="J8" s="58">
        <v>41306</v>
      </c>
      <c r="K8" s="58">
        <v>41518</v>
      </c>
      <c r="L8" s="56">
        <v>3048373.59</v>
      </c>
      <c r="M8" s="66" t="s">
        <v>53</v>
      </c>
      <c r="N8" s="66" t="s">
        <v>80</v>
      </c>
      <c r="O8" s="56">
        <v>4095547.2</v>
      </c>
      <c r="P8" s="56">
        <v>3276584</v>
      </c>
      <c r="Q8" s="68">
        <f t="shared" si="7"/>
        <v>0.41202584511019441</v>
      </c>
      <c r="R8" s="69">
        <f t="shared" si="1"/>
        <v>0.8000357070723052</v>
      </c>
      <c r="S8" s="56">
        <v>0</v>
      </c>
      <c r="T8" s="56">
        <f t="shared" si="2"/>
        <v>98</v>
      </c>
      <c r="U8" s="56">
        <v>5451863</v>
      </c>
      <c r="V8" s="70" t="s">
        <v>124</v>
      </c>
      <c r="W8" s="56" t="b">
        <v>0</v>
      </c>
      <c r="X8" s="71">
        <f t="shared" si="3"/>
        <v>0.8000357070723052</v>
      </c>
      <c r="Y8" s="71">
        <f t="shared" si="4"/>
        <v>0.41202584511019441</v>
      </c>
      <c r="Z8" s="61">
        <f t="shared" si="5"/>
        <v>98</v>
      </c>
      <c r="AA8" s="58">
        <v>0</v>
      </c>
      <c r="AB8" s="61" t="str">
        <f t="shared" si="8"/>
        <v>No</v>
      </c>
      <c r="AG8" s="56" t="b">
        <v>1</v>
      </c>
    </row>
    <row r="9" spans="1:33" x14ac:dyDescent="0.3">
      <c r="A9" s="3">
        <v>1241</v>
      </c>
      <c r="B9" s="67">
        <v>8841</v>
      </c>
      <c r="C9" s="52">
        <v>0.105</v>
      </c>
      <c r="D9" s="56" t="s">
        <v>76</v>
      </c>
      <c r="E9" s="52">
        <f t="shared" si="6"/>
        <v>6.9999999999999993E-2</v>
      </c>
      <c r="F9" s="56">
        <f t="shared" si="0"/>
        <v>92</v>
      </c>
      <c r="G9" s="56">
        <v>160810.42000000001</v>
      </c>
      <c r="H9" s="56">
        <v>7313965.7410000004</v>
      </c>
      <c r="I9" s="56">
        <v>180</v>
      </c>
      <c r="J9" s="58">
        <v>41306</v>
      </c>
      <c r="K9" s="58">
        <v>41821</v>
      </c>
      <c r="L9" s="56">
        <v>10332900.49</v>
      </c>
      <c r="M9" s="66" t="s">
        <v>71</v>
      </c>
      <c r="N9" s="66" t="s">
        <v>81</v>
      </c>
      <c r="O9" s="56">
        <v>10715195.23</v>
      </c>
      <c r="P9" s="56">
        <v>8526820</v>
      </c>
      <c r="Q9" s="68">
        <f t="shared" si="7"/>
        <v>0.4167280066690468</v>
      </c>
      <c r="R9" s="69">
        <f t="shared" si="1"/>
        <v>0.79576898198988766</v>
      </c>
      <c r="S9" s="56">
        <v>204298.65</v>
      </c>
      <c r="T9" s="56">
        <f t="shared" si="2"/>
        <v>88</v>
      </c>
      <c r="U9" s="56">
        <v>17550934</v>
      </c>
      <c r="V9" s="70" t="s">
        <v>124</v>
      </c>
      <c r="W9" s="56" t="b">
        <v>0</v>
      </c>
      <c r="X9" s="71">
        <f t="shared" si="3"/>
        <v>0.79576898198988766</v>
      </c>
      <c r="Y9" s="71">
        <f t="shared" si="4"/>
        <v>0.4167280066690468</v>
      </c>
      <c r="Z9" s="61">
        <f t="shared" si="5"/>
        <v>88</v>
      </c>
      <c r="AA9" s="58">
        <v>41729</v>
      </c>
      <c r="AB9" s="61" t="str">
        <f t="shared" si="8"/>
        <v>No</v>
      </c>
      <c r="AG9" s="56" t="b">
        <v>1</v>
      </c>
    </row>
    <row r="10" spans="1:33" x14ac:dyDescent="0.3">
      <c r="A10" s="3">
        <v>1289</v>
      </c>
      <c r="B10" s="67">
        <v>7996</v>
      </c>
      <c r="C10" s="52">
        <v>9.0999999999999998E-2</v>
      </c>
      <c r="D10" s="56" t="s">
        <v>76</v>
      </c>
      <c r="E10" s="52">
        <f t="shared" si="6"/>
        <v>5.5999999999999994E-2</v>
      </c>
      <c r="F10" s="56">
        <f t="shared" si="0"/>
        <v>84</v>
      </c>
      <c r="G10" s="56">
        <v>52095.48</v>
      </c>
      <c r="H10" s="56">
        <v>7002836.75</v>
      </c>
      <c r="I10" s="56">
        <v>180</v>
      </c>
      <c r="J10" s="58">
        <v>41487</v>
      </c>
      <c r="K10" s="58">
        <v>41579</v>
      </c>
      <c r="L10" s="56">
        <v>4216494</v>
      </c>
      <c r="M10" s="66" t="s">
        <v>53</v>
      </c>
      <c r="N10" s="66" t="s">
        <v>79</v>
      </c>
      <c r="O10" s="56">
        <v>6313158.0800000001</v>
      </c>
      <c r="P10" s="56">
        <v>4216494</v>
      </c>
      <c r="Q10" s="68">
        <f t="shared" si="7"/>
        <v>0.53419880821228338</v>
      </c>
      <c r="R10" s="69">
        <f t="shared" si="1"/>
        <v>0.66788981783266232</v>
      </c>
      <c r="S10" s="56">
        <v>0</v>
      </c>
      <c r="T10" s="56">
        <f t="shared" si="2"/>
        <v>96</v>
      </c>
      <c r="U10" s="56">
        <v>13109046</v>
      </c>
      <c r="V10" s="70" t="s">
        <v>125</v>
      </c>
      <c r="W10" s="56" t="b">
        <v>0</v>
      </c>
      <c r="X10" s="71">
        <f t="shared" si="3"/>
        <v>0.66788981783266232</v>
      </c>
      <c r="Y10" s="71">
        <f t="shared" si="4"/>
        <v>0.53419880821228338</v>
      </c>
      <c r="Z10" s="61">
        <f t="shared" si="5"/>
        <v>96</v>
      </c>
      <c r="AA10" s="58">
        <v>44773</v>
      </c>
      <c r="AB10" s="61" t="str">
        <f t="shared" si="8"/>
        <v>Yes</v>
      </c>
      <c r="AG10" s="56" t="b">
        <v>1</v>
      </c>
    </row>
    <row r="11" spans="1:33" x14ac:dyDescent="0.3">
      <c r="A11" s="3">
        <v>1296</v>
      </c>
      <c r="B11" s="67">
        <v>8536</v>
      </c>
      <c r="C11" s="52">
        <v>0.12</v>
      </c>
      <c r="D11" s="56" t="s">
        <v>76</v>
      </c>
      <c r="E11" s="52">
        <f t="shared" si="6"/>
        <v>8.4999999999999992E-2</v>
      </c>
      <c r="F11" s="56">
        <f t="shared" si="0"/>
        <v>90</v>
      </c>
      <c r="G11" s="56">
        <v>414850.47</v>
      </c>
      <c r="H11" s="56">
        <v>23485116.780000001</v>
      </c>
      <c r="I11" s="56">
        <v>180</v>
      </c>
      <c r="J11" s="58">
        <v>41518</v>
      </c>
      <c r="K11" s="58">
        <v>41760</v>
      </c>
      <c r="L11" s="56">
        <v>29995116.199999999</v>
      </c>
      <c r="M11" s="66" t="s">
        <v>53</v>
      </c>
      <c r="N11" s="66" t="s">
        <v>53</v>
      </c>
      <c r="O11" s="56">
        <v>40838573.560000002</v>
      </c>
      <c r="P11" s="56">
        <v>31312675</v>
      </c>
      <c r="Q11" s="68">
        <f t="shared" si="7"/>
        <v>0.34049686429827014</v>
      </c>
      <c r="R11" s="69">
        <f t="shared" si="1"/>
        <v>0.76674262273131166</v>
      </c>
      <c r="S11" s="56">
        <v>0</v>
      </c>
      <c r="T11" s="56">
        <f t="shared" si="2"/>
        <v>90</v>
      </c>
      <c r="U11" s="56">
        <v>68973078</v>
      </c>
      <c r="V11" s="70" t="s">
        <v>124</v>
      </c>
      <c r="W11" s="56" t="b">
        <v>0</v>
      </c>
      <c r="X11" s="71">
        <f t="shared" si="3"/>
        <v>0.76674262273131166</v>
      </c>
      <c r="Y11" s="71">
        <f t="shared" si="4"/>
        <v>0.34049686429827014</v>
      </c>
      <c r="Z11" s="61">
        <f t="shared" si="5"/>
        <v>90</v>
      </c>
      <c r="AA11" s="58">
        <v>41578</v>
      </c>
      <c r="AB11" s="61" t="str">
        <f t="shared" si="8"/>
        <v>No</v>
      </c>
      <c r="AG11" s="56" t="b">
        <v>1</v>
      </c>
    </row>
    <row r="12" spans="1:33" x14ac:dyDescent="0.3">
      <c r="A12" s="3">
        <v>1397</v>
      </c>
      <c r="B12" s="67">
        <v>0</v>
      </c>
      <c r="C12" s="52">
        <v>0.11</v>
      </c>
      <c r="D12" s="56" t="s">
        <v>76</v>
      </c>
      <c r="E12" s="52">
        <f t="shared" si="6"/>
        <v>7.4999999999999997E-2</v>
      </c>
      <c r="F12" s="56">
        <f t="shared" si="0"/>
        <v>100</v>
      </c>
      <c r="G12" s="56">
        <v>17762.63</v>
      </c>
      <c r="H12" s="56">
        <v>1128385.57</v>
      </c>
      <c r="I12" s="56">
        <v>180</v>
      </c>
      <c r="J12" s="58">
        <v>41883</v>
      </c>
      <c r="K12" s="58">
        <v>42064</v>
      </c>
      <c r="L12" s="56">
        <v>1410000</v>
      </c>
      <c r="M12" s="66" t="s">
        <v>71</v>
      </c>
      <c r="N12" s="66" t="s">
        <v>82</v>
      </c>
      <c r="O12" s="56">
        <v>1983424</v>
      </c>
      <c r="P12" s="56">
        <v>1470769</v>
      </c>
      <c r="Q12" s="68">
        <f t="shared" si="7"/>
        <v>0.45832721829920414</v>
      </c>
      <c r="R12" s="69">
        <f t="shared" si="1"/>
        <v>0.7415303031525281</v>
      </c>
      <c r="S12" s="56">
        <v>0</v>
      </c>
      <c r="T12" s="56">
        <f t="shared" si="2"/>
        <v>80</v>
      </c>
      <c r="U12" s="56">
        <v>2461965</v>
      </c>
      <c r="V12" s="70" t="s">
        <v>124</v>
      </c>
      <c r="W12" s="56" t="b">
        <v>0</v>
      </c>
      <c r="X12" s="71">
        <f t="shared" si="3"/>
        <v>0.7415303031525281</v>
      </c>
      <c r="Y12" s="71">
        <f t="shared" si="4"/>
        <v>0.45832721829920414</v>
      </c>
      <c r="Z12" s="61">
        <f t="shared" si="5"/>
        <v>80</v>
      </c>
      <c r="AA12" s="58">
        <v>0</v>
      </c>
      <c r="AB12" s="61" t="str">
        <f t="shared" si="8"/>
        <v>No</v>
      </c>
      <c r="AG12" s="56" t="b">
        <v>1</v>
      </c>
    </row>
    <row r="13" spans="1:33" x14ac:dyDescent="0.3">
      <c r="A13" s="3">
        <v>1418</v>
      </c>
      <c r="B13" s="67">
        <v>7912</v>
      </c>
      <c r="C13" s="52">
        <v>0.09</v>
      </c>
      <c r="D13" s="56" t="s">
        <v>76</v>
      </c>
      <c r="E13" s="52">
        <f t="shared" si="6"/>
        <v>5.4999999999999993E-2</v>
      </c>
      <c r="F13" s="56">
        <f t="shared" si="0"/>
        <v>98</v>
      </c>
      <c r="G13" s="56">
        <v>85588.5</v>
      </c>
      <c r="H13" s="56">
        <v>5914395.1900000004</v>
      </c>
      <c r="I13" s="56">
        <v>180</v>
      </c>
      <c r="J13" s="58">
        <v>41944</v>
      </c>
      <c r="K13" s="58">
        <v>42005</v>
      </c>
      <c r="L13" s="56">
        <v>9350938.9699999988</v>
      </c>
      <c r="M13" s="66" t="s">
        <v>53</v>
      </c>
      <c r="N13" s="66" t="s">
        <v>79</v>
      </c>
      <c r="O13" s="56">
        <v>10819498.960000001</v>
      </c>
      <c r="P13" s="56">
        <v>6169441</v>
      </c>
      <c r="Q13" s="68">
        <f t="shared" si="7"/>
        <v>0.41783919861055496</v>
      </c>
      <c r="R13" s="69">
        <f t="shared" si="1"/>
        <v>0.5702150370186827</v>
      </c>
      <c r="S13" s="56">
        <v>0</v>
      </c>
      <c r="T13" s="56">
        <f t="shared" si="2"/>
        <v>82</v>
      </c>
      <c r="U13" s="56">
        <v>14154716</v>
      </c>
      <c r="V13" s="70" t="s">
        <v>124</v>
      </c>
      <c r="W13" s="56" t="b">
        <v>0</v>
      </c>
      <c r="X13" s="71">
        <f t="shared" si="3"/>
        <v>0.5702150370186827</v>
      </c>
      <c r="Y13" s="71">
        <f t="shared" si="4"/>
        <v>0.41783919861055496</v>
      </c>
      <c r="Z13" s="61">
        <f t="shared" si="5"/>
        <v>82</v>
      </c>
      <c r="AA13" s="58">
        <v>44255</v>
      </c>
      <c r="AB13" s="61" t="str">
        <f t="shared" si="8"/>
        <v>No</v>
      </c>
      <c r="AG13" s="56" t="b">
        <v>1</v>
      </c>
    </row>
    <row r="14" spans="1:33" x14ac:dyDescent="0.3">
      <c r="A14" s="3">
        <v>1820</v>
      </c>
      <c r="B14" s="67">
        <v>8462</v>
      </c>
      <c r="C14" s="52">
        <v>0.1</v>
      </c>
      <c r="D14" s="56" t="s">
        <v>76</v>
      </c>
      <c r="E14" s="52">
        <f t="shared" si="6"/>
        <v>6.5000000000000002E-2</v>
      </c>
      <c r="F14" s="56">
        <f t="shared" si="0"/>
        <v>141</v>
      </c>
      <c r="G14" s="56">
        <v>58146.5</v>
      </c>
      <c r="H14" s="56">
        <v>4792412.59</v>
      </c>
      <c r="I14" s="56">
        <v>180</v>
      </c>
      <c r="J14" s="58">
        <v>43252</v>
      </c>
      <c r="K14" s="58">
        <v>43313</v>
      </c>
      <c r="L14" s="56">
        <v>5301376.46</v>
      </c>
      <c r="M14" s="66" t="s">
        <v>53</v>
      </c>
      <c r="N14" s="66" t="s">
        <v>83</v>
      </c>
      <c r="O14" s="56">
        <v>7991704</v>
      </c>
      <c r="P14" s="56">
        <v>5948483</v>
      </c>
      <c r="Q14" s="68">
        <f t="shared" si="7"/>
        <v>0.59905157374999995</v>
      </c>
      <c r="R14" s="69">
        <f t="shared" si="1"/>
        <v>0.74433224754069971</v>
      </c>
      <c r="S14" s="56">
        <v>0</v>
      </c>
      <c r="T14" s="56">
        <f t="shared" si="2"/>
        <v>39</v>
      </c>
      <c r="U14" s="56">
        <v>8000000</v>
      </c>
      <c r="V14" s="70" t="s">
        <v>124</v>
      </c>
      <c r="W14" s="56" t="b">
        <v>0</v>
      </c>
      <c r="X14" s="71">
        <f t="shared" si="3"/>
        <v>0.74433224754069971</v>
      </c>
      <c r="Y14" s="71">
        <f t="shared" si="4"/>
        <v>0.59905157374999995</v>
      </c>
      <c r="Z14" s="61">
        <f t="shared" si="5"/>
        <v>39</v>
      </c>
      <c r="AA14" s="58">
        <v>0</v>
      </c>
      <c r="AB14" s="61" t="str">
        <f t="shared" si="8"/>
        <v>No</v>
      </c>
      <c r="AG14" s="56" t="b">
        <v>1</v>
      </c>
    </row>
    <row r="15" spans="1:33" x14ac:dyDescent="0.3">
      <c r="A15" s="3">
        <v>1424</v>
      </c>
      <c r="B15" s="67">
        <v>8876</v>
      </c>
      <c r="C15" s="52">
        <v>0.105</v>
      </c>
      <c r="D15" s="56" t="s">
        <v>76</v>
      </c>
      <c r="E15" s="52">
        <f t="shared" si="6"/>
        <v>6.9999999999999993E-2</v>
      </c>
      <c r="F15" s="56">
        <f t="shared" si="0"/>
        <v>98</v>
      </c>
      <c r="G15" s="56">
        <v>30856.77</v>
      </c>
      <c r="H15" s="56">
        <v>2005181.66</v>
      </c>
      <c r="I15" s="56">
        <v>180</v>
      </c>
      <c r="J15" s="58">
        <v>41944</v>
      </c>
      <c r="K15" s="58">
        <v>42005</v>
      </c>
      <c r="L15" s="56">
        <v>2553060</v>
      </c>
      <c r="M15" s="66" t="s">
        <v>53</v>
      </c>
      <c r="N15" s="66" t="s">
        <v>53</v>
      </c>
      <c r="O15" s="56">
        <v>3181936.88</v>
      </c>
      <c r="P15" s="56">
        <v>2553060</v>
      </c>
      <c r="Q15" s="68">
        <f t="shared" si="7"/>
        <v>0.39888950866436834</v>
      </c>
      <c r="R15" s="69">
        <f t="shared" si="1"/>
        <v>0.80236035354667379</v>
      </c>
      <c r="S15" s="56">
        <v>0</v>
      </c>
      <c r="T15" s="56">
        <f t="shared" si="2"/>
        <v>82</v>
      </c>
      <c r="U15" s="56">
        <v>5026910</v>
      </c>
      <c r="V15" s="70" t="s">
        <v>124</v>
      </c>
      <c r="W15" s="56" t="b">
        <v>0</v>
      </c>
      <c r="X15" s="71">
        <f t="shared" si="3"/>
        <v>0.80236035354667379</v>
      </c>
      <c r="Y15" s="71">
        <f t="shared" si="4"/>
        <v>0.39888950866436834</v>
      </c>
      <c r="Z15" s="61">
        <f t="shared" si="5"/>
        <v>82</v>
      </c>
      <c r="AA15" s="58">
        <v>0</v>
      </c>
      <c r="AB15" s="61" t="str">
        <f t="shared" si="8"/>
        <v>No</v>
      </c>
      <c r="AG15" s="56" t="b">
        <v>1</v>
      </c>
    </row>
    <row r="16" spans="1:33" x14ac:dyDescent="0.3">
      <c r="A16" s="3">
        <v>1432</v>
      </c>
      <c r="B16" s="67">
        <v>8865</v>
      </c>
      <c r="C16" s="52">
        <v>0.105</v>
      </c>
      <c r="D16" s="56" t="s">
        <v>76</v>
      </c>
      <c r="E16" s="52">
        <f t="shared" si="6"/>
        <v>6.9999999999999993E-2</v>
      </c>
      <c r="F16" s="56">
        <f t="shared" si="0"/>
        <v>101</v>
      </c>
      <c r="G16" s="56">
        <v>23138.95</v>
      </c>
      <c r="H16" s="56">
        <v>1527752.45</v>
      </c>
      <c r="I16" s="56">
        <v>180</v>
      </c>
      <c r="J16" s="58">
        <v>41974</v>
      </c>
      <c r="K16" s="58">
        <v>42095</v>
      </c>
      <c r="L16" s="56">
        <v>1838808</v>
      </c>
      <c r="M16" s="66" t="s">
        <v>53</v>
      </c>
      <c r="N16" s="66" t="s">
        <v>84</v>
      </c>
      <c r="O16" s="56">
        <v>2285945.54</v>
      </c>
      <c r="P16" s="56">
        <v>1838808</v>
      </c>
      <c r="Q16" s="68">
        <f t="shared" si="7"/>
        <v>0.488693438483423</v>
      </c>
      <c r="R16" s="69">
        <f t="shared" si="1"/>
        <v>0.80439711612727216</v>
      </c>
      <c r="S16" s="56">
        <v>0</v>
      </c>
      <c r="T16" s="56">
        <f t="shared" si="2"/>
        <v>79</v>
      </c>
      <c r="U16" s="56">
        <v>3126198</v>
      </c>
      <c r="V16" s="70" t="s">
        <v>124</v>
      </c>
      <c r="W16" s="56" t="b">
        <v>0</v>
      </c>
      <c r="X16" s="71">
        <f t="shared" si="3"/>
        <v>0.80439711612727216</v>
      </c>
      <c r="Y16" s="71">
        <f t="shared" si="4"/>
        <v>0.488693438483423</v>
      </c>
      <c r="Z16" s="61">
        <f t="shared" si="5"/>
        <v>79</v>
      </c>
      <c r="AA16" s="58">
        <v>0</v>
      </c>
      <c r="AB16" s="61" t="str">
        <f t="shared" si="8"/>
        <v>No</v>
      </c>
      <c r="AG16" s="56" t="b">
        <v>1</v>
      </c>
    </row>
    <row r="17" spans="1:33" x14ac:dyDescent="0.3">
      <c r="A17" s="3">
        <v>1433</v>
      </c>
      <c r="B17" s="67">
        <v>0</v>
      </c>
      <c r="C17" s="52">
        <v>0.105</v>
      </c>
      <c r="D17" s="56" t="s">
        <v>76</v>
      </c>
      <c r="E17" s="52">
        <f t="shared" si="6"/>
        <v>6.9999999999999993E-2</v>
      </c>
      <c r="F17" s="56">
        <f t="shared" si="0"/>
        <v>99</v>
      </c>
      <c r="G17" s="56">
        <v>9906.6299999999992</v>
      </c>
      <c r="H17" s="56">
        <v>654092.82999999996</v>
      </c>
      <c r="I17" s="56">
        <v>180</v>
      </c>
      <c r="J17" s="58">
        <v>41974</v>
      </c>
      <c r="K17" s="58">
        <v>42036</v>
      </c>
      <c r="L17" s="56">
        <v>841000</v>
      </c>
      <c r="M17" s="66" t="s">
        <v>53</v>
      </c>
      <c r="N17" s="66" t="s">
        <v>85</v>
      </c>
      <c r="O17" s="56">
        <v>1107853.1200000001</v>
      </c>
      <c r="P17" s="56">
        <v>852720</v>
      </c>
      <c r="Q17" s="68">
        <f t="shared" si="7"/>
        <v>0.41606603061277064</v>
      </c>
      <c r="R17" s="69">
        <f t="shared" si="1"/>
        <v>0.76970492261645651</v>
      </c>
      <c r="S17" s="56">
        <v>0</v>
      </c>
      <c r="T17" s="56">
        <f t="shared" si="2"/>
        <v>81</v>
      </c>
      <c r="U17" s="56">
        <v>1572089</v>
      </c>
      <c r="V17" s="70" t="s">
        <v>124</v>
      </c>
      <c r="W17" s="56" t="b">
        <v>0</v>
      </c>
      <c r="X17" s="71">
        <f t="shared" si="3"/>
        <v>0.76970492261645651</v>
      </c>
      <c r="Y17" s="71">
        <f t="shared" si="4"/>
        <v>0.41606603061277064</v>
      </c>
      <c r="Z17" s="61">
        <f t="shared" si="5"/>
        <v>81</v>
      </c>
      <c r="AA17" s="58">
        <v>44043</v>
      </c>
      <c r="AB17" s="61" t="str">
        <f t="shared" si="8"/>
        <v>No</v>
      </c>
      <c r="AG17" s="56" t="b">
        <v>1</v>
      </c>
    </row>
    <row r="18" spans="1:33" x14ac:dyDescent="0.3">
      <c r="A18" s="3">
        <v>1444</v>
      </c>
      <c r="B18" s="67">
        <v>9126</v>
      </c>
      <c r="C18" s="52">
        <v>0.10920000000000001</v>
      </c>
      <c r="D18" s="56" t="s">
        <v>76</v>
      </c>
      <c r="E18" s="52">
        <f t="shared" si="6"/>
        <v>7.4200000000000002E-2</v>
      </c>
      <c r="F18" s="56">
        <f t="shared" si="0"/>
        <v>102</v>
      </c>
      <c r="G18" s="56">
        <v>82000</v>
      </c>
      <c r="H18" s="56">
        <v>1776195.57</v>
      </c>
      <c r="I18" s="56">
        <v>180</v>
      </c>
      <c r="J18" s="58">
        <v>42064</v>
      </c>
      <c r="K18" s="58">
        <v>42125</v>
      </c>
      <c r="L18" s="56">
        <v>5426001</v>
      </c>
      <c r="M18" s="66" t="s">
        <v>53</v>
      </c>
      <c r="N18" s="66" t="s">
        <v>77</v>
      </c>
      <c r="O18" s="56">
        <v>7689666.9100000001</v>
      </c>
      <c r="P18" s="56">
        <v>4489549</v>
      </c>
      <c r="Q18" s="68">
        <f t="shared" si="7"/>
        <v>0.13707019879366286</v>
      </c>
      <c r="R18" s="69">
        <f t="shared" si="1"/>
        <v>0.58384180388380436</v>
      </c>
      <c r="S18" s="56">
        <v>0</v>
      </c>
      <c r="T18" s="56">
        <f t="shared" si="2"/>
        <v>78</v>
      </c>
      <c r="U18" s="56">
        <v>12958291.34</v>
      </c>
      <c r="V18" s="70" t="s">
        <v>124</v>
      </c>
      <c r="W18" s="56" t="b">
        <v>0</v>
      </c>
      <c r="X18" s="71">
        <f t="shared" si="3"/>
        <v>0.58384180388380436</v>
      </c>
      <c r="Y18" s="71">
        <f t="shared" si="4"/>
        <v>0.13707019879366286</v>
      </c>
      <c r="Z18" s="61">
        <f t="shared" si="5"/>
        <v>78</v>
      </c>
      <c r="AA18" s="58">
        <v>0</v>
      </c>
      <c r="AB18" s="61" t="str">
        <f t="shared" si="8"/>
        <v>No</v>
      </c>
      <c r="AG18" s="56" t="b">
        <v>1</v>
      </c>
    </row>
    <row r="19" spans="1:33" x14ac:dyDescent="0.3">
      <c r="A19" s="3">
        <v>1493</v>
      </c>
      <c r="B19" s="67">
        <v>0</v>
      </c>
      <c r="C19" s="52">
        <v>0.105</v>
      </c>
      <c r="D19" s="56" t="s">
        <v>76</v>
      </c>
      <c r="E19" s="52">
        <f t="shared" si="6"/>
        <v>6.9999999999999993E-2</v>
      </c>
      <c r="F19" s="56">
        <f t="shared" si="0"/>
        <v>108</v>
      </c>
      <c r="G19" s="56">
        <v>7295.41</v>
      </c>
      <c r="H19" s="56">
        <v>505734.33</v>
      </c>
      <c r="I19" s="56">
        <v>180</v>
      </c>
      <c r="J19" s="58">
        <v>42186</v>
      </c>
      <c r="K19" s="58">
        <v>42309</v>
      </c>
      <c r="L19" s="56">
        <v>632463.18000000005</v>
      </c>
      <c r="M19" s="66" t="s">
        <v>71</v>
      </c>
      <c r="N19" s="66" t="s">
        <v>86</v>
      </c>
      <c r="O19" s="56">
        <v>845873.93</v>
      </c>
      <c r="P19" s="56">
        <v>640866</v>
      </c>
      <c r="Q19" s="68">
        <f t="shared" si="7"/>
        <v>0.58947834742518723</v>
      </c>
      <c r="R19" s="69">
        <f t="shared" si="1"/>
        <v>0.757637725044913</v>
      </c>
      <c r="S19" s="56">
        <v>0</v>
      </c>
      <c r="T19" s="56">
        <f t="shared" si="2"/>
        <v>72</v>
      </c>
      <c r="U19" s="56">
        <v>857935.38</v>
      </c>
      <c r="V19" s="70" t="s">
        <v>124</v>
      </c>
      <c r="W19" s="56" t="b">
        <v>0</v>
      </c>
      <c r="X19" s="71">
        <f t="shared" si="3"/>
        <v>0.757637725044913</v>
      </c>
      <c r="Y19" s="71">
        <f t="shared" si="4"/>
        <v>0.58947834742518723</v>
      </c>
      <c r="Z19" s="61">
        <f t="shared" si="5"/>
        <v>72</v>
      </c>
      <c r="AA19" s="58">
        <v>0</v>
      </c>
      <c r="AB19" s="61" t="str">
        <f t="shared" si="8"/>
        <v>No</v>
      </c>
      <c r="AG19" s="56" t="b">
        <v>1</v>
      </c>
    </row>
    <row r="20" spans="1:33" x14ac:dyDescent="0.3">
      <c r="A20" s="3">
        <v>1524</v>
      </c>
      <c r="B20" s="67">
        <v>0</v>
      </c>
      <c r="C20" s="52">
        <v>0.105</v>
      </c>
      <c r="D20" s="56" t="s">
        <v>76</v>
      </c>
      <c r="E20" s="52">
        <f t="shared" si="6"/>
        <v>6.9999999999999993E-2</v>
      </c>
      <c r="F20" s="56">
        <f t="shared" si="0"/>
        <v>110</v>
      </c>
      <c r="G20" s="56">
        <v>33174.49</v>
      </c>
      <c r="H20" s="56">
        <v>2314496.2599999998</v>
      </c>
      <c r="I20" s="56">
        <v>180</v>
      </c>
      <c r="J20" s="58">
        <v>42278</v>
      </c>
      <c r="K20" s="58">
        <v>42370</v>
      </c>
      <c r="L20" s="56">
        <v>2778924.72</v>
      </c>
      <c r="M20" s="66" t="s">
        <v>53</v>
      </c>
      <c r="N20" s="66" t="s">
        <v>79</v>
      </c>
      <c r="O20" s="56">
        <v>3140572</v>
      </c>
      <c r="P20" s="56">
        <v>2351710</v>
      </c>
      <c r="Q20" s="68">
        <f t="shared" si="7"/>
        <v>0.6012570331859608</v>
      </c>
      <c r="R20" s="69">
        <f t="shared" si="1"/>
        <v>0.74881582081225972</v>
      </c>
      <c r="S20" s="56">
        <v>0</v>
      </c>
      <c r="T20" s="56">
        <f t="shared" si="2"/>
        <v>70</v>
      </c>
      <c r="U20" s="56">
        <v>3849429</v>
      </c>
      <c r="V20" s="70" t="s">
        <v>124</v>
      </c>
      <c r="W20" s="56" t="b">
        <v>0</v>
      </c>
      <c r="X20" s="71">
        <f t="shared" si="3"/>
        <v>0.74881582081225972</v>
      </c>
      <c r="Y20" s="71">
        <f t="shared" si="4"/>
        <v>0.6012570331859608</v>
      </c>
      <c r="Z20" s="61">
        <f t="shared" si="5"/>
        <v>70</v>
      </c>
      <c r="AA20" s="58">
        <v>0</v>
      </c>
      <c r="AB20" s="61" t="str">
        <f t="shared" si="8"/>
        <v>No</v>
      </c>
      <c r="AG20" s="56" t="b">
        <v>1</v>
      </c>
    </row>
    <row r="21" spans="1:33" x14ac:dyDescent="0.3">
      <c r="A21" s="3">
        <v>1533</v>
      </c>
      <c r="B21" s="67">
        <v>9212</v>
      </c>
      <c r="C21" s="52">
        <v>0.11550000000000001</v>
      </c>
      <c r="D21" s="56" t="s">
        <v>76</v>
      </c>
      <c r="E21" s="52">
        <f t="shared" si="6"/>
        <v>8.0500000000000002E-2</v>
      </c>
      <c r="F21" s="56">
        <f t="shared" si="0"/>
        <v>128</v>
      </c>
      <c r="G21" s="56">
        <v>289499.78000000003</v>
      </c>
      <c r="H21" s="56">
        <v>19621138.77</v>
      </c>
      <c r="I21" s="56">
        <v>180</v>
      </c>
      <c r="J21" s="58">
        <v>42309</v>
      </c>
      <c r="K21" s="58">
        <v>42917</v>
      </c>
      <c r="L21" s="56">
        <v>22994440.25</v>
      </c>
      <c r="M21" s="66" t="s">
        <v>67</v>
      </c>
      <c r="N21" s="66" t="s">
        <v>87</v>
      </c>
      <c r="O21" s="56">
        <v>25468357.850000001</v>
      </c>
      <c r="P21" s="56">
        <v>19355139</v>
      </c>
      <c r="Q21" s="68">
        <f t="shared" si="7"/>
        <v>0.60617058726395823</v>
      </c>
      <c r="R21" s="69">
        <f t="shared" si="1"/>
        <v>0.75996807937108513</v>
      </c>
      <c r="S21" s="56">
        <v>0</v>
      </c>
      <c r="T21" s="56">
        <f t="shared" si="2"/>
        <v>52</v>
      </c>
      <c r="U21" s="56">
        <v>32369005</v>
      </c>
      <c r="V21" s="70" t="s">
        <v>124</v>
      </c>
      <c r="W21" s="56" t="b">
        <v>0</v>
      </c>
      <c r="X21" s="71">
        <f t="shared" si="3"/>
        <v>0.75996807937108513</v>
      </c>
      <c r="Y21" s="71">
        <f t="shared" si="4"/>
        <v>0.60617058726395823</v>
      </c>
      <c r="Z21" s="61">
        <f t="shared" si="5"/>
        <v>52</v>
      </c>
      <c r="AA21" s="58">
        <v>0</v>
      </c>
      <c r="AB21" s="61" t="str">
        <f t="shared" si="8"/>
        <v>No</v>
      </c>
      <c r="AG21" s="56" t="b">
        <v>1</v>
      </c>
    </row>
    <row r="22" spans="1:33" x14ac:dyDescent="0.3">
      <c r="A22" s="3">
        <v>1884</v>
      </c>
      <c r="B22" s="67">
        <v>8272</v>
      </c>
      <c r="C22" s="52">
        <v>0.105</v>
      </c>
      <c r="D22" s="56" t="s">
        <v>76</v>
      </c>
      <c r="E22" s="52">
        <f t="shared" si="6"/>
        <v>6.9999999999999993E-2</v>
      </c>
      <c r="F22" s="56">
        <f t="shared" si="0"/>
        <v>146</v>
      </c>
      <c r="G22" s="56">
        <v>12356.83</v>
      </c>
      <c r="H22" s="56">
        <v>1019057.37</v>
      </c>
      <c r="I22" s="56">
        <v>180</v>
      </c>
      <c r="J22" s="58">
        <v>43405</v>
      </c>
      <c r="K22" s="58">
        <v>43466</v>
      </c>
      <c r="L22" s="56">
        <v>1098476.43</v>
      </c>
      <c r="M22" s="66" t="s">
        <v>53</v>
      </c>
      <c r="N22" s="66" t="s">
        <v>88</v>
      </c>
      <c r="O22" s="56">
        <v>2438852</v>
      </c>
      <c r="P22" s="56">
        <v>1185327</v>
      </c>
      <c r="Q22" s="68">
        <f t="shared" si="7"/>
        <v>0.41784305484711659</v>
      </c>
      <c r="R22" s="69">
        <f t="shared" si="1"/>
        <v>0.48601842178205157</v>
      </c>
      <c r="S22" s="56">
        <v>0</v>
      </c>
      <c r="T22" s="56">
        <f t="shared" si="2"/>
        <v>34</v>
      </c>
      <c r="U22" s="56">
        <v>2438852</v>
      </c>
      <c r="V22" s="70" t="s">
        <v>124</v>
      </c>
      <c r="W22" s="56" t="b">
        <v>0</v>
      </c>
      <c r="X22" s="71">
        <f t="shared" si="3"/>
        <v>0.48601842178205157</v>
      </c>
      <c r="Y22" s="71">
        <f t="shared" si="4"/>
        <v>0.41784305484711659</v>
      </c>
      <c r="Z22" s="61">
        <f t="shared" si="5"/>
        <v>34</v>
      </c>
      <c r="AA22" s="58">
        <v>0</v>
      </c>
      <c r="AB22" s="61" t="str">
        <f t="shared" si="8"/>
        <v>No</v>
      </c>
      <c r="AG22" s="56" t="b">
        <v>1</v>
      </c>
    </row>
    <row r="23" spans="1:33" x14ac:dyDescent="0.3">
      <c r="A23" s="3">
        <v>1568</v>
      </c>
      <c r="B23" s="67">
        <v>9313</v>
      </c>
      <c r="C23" s="52">
        <v>0.105</v>
      </c>
      <c r="D23" s="56" t="s">
        <v>76</v>
      </c>
      <c r="E23" s="52">
        <f t="shared" si="6"/>
        <v>6.9999999999999993E-2</v>
      </c>
      <c r="F23" s="56">
        <f t="shared" si="0"/>
        <v>113</v>
      </c>
      <c r="G23" s="56">
        <v>30012.77</v>
      </c>
      <c r="H23" s="56">
        <v>2146393.5099999998</v>
      </c>
      <c r="I23" s="56">
        <v>180</v>
      </c>
      <c r="J23" s="58">
        <v>42401</v>
      </c>
      <c r="K23" s="58">
        <v>42461</v>
      </c>
      <c r="L23" s="56">
        <v>2602734</v>
      </c>
      <c r="M23" s="66" t="s">
        <v>53</v>
      </c>
      <c r="N23" s="66" t="s">
        <v>89</v>
      </c>
      <c r="O23" s="56">
        <v>3240216.8</v>
      </c>
      <c r="P23" s="56">
        <v>2602734</v>
      </c>
      <c r="Q23" s="68">
        <f t="shared" si="7"/>
        <v>0.61747404768637837</v>
      </c>
      <c r="R23" s="69">
        <f t="shared" si="1"/>
        <v>0.80325921401308709</v>
      </c>
      <c r="S23" s="56">
        <v>0</v>
      </c>
      <c r="T23" s="56">
        <f t="shared" si="2"/>
        <v>67</v>
      </c>
      <c r="U23" s="56">
        <v>3476087</v>
      </c>
      <c r="V23" s="70" t="s">
        <v>124</v>
      </c>
      <c r="W23" s="56" t="b">
        <v>0</v>
      </c>
      <c r="X23" s="71">
        <f t="shared" si="3"/>
        <v>0.80325921401308709</v>
      </c>
      <c r="Y23" s="71">
        <f t="shared" si="4"/>
        <v>0.61747404768637837</v>
      </c>
      <c r="Z23" s="61">
        <f t="shared" si="5"/>
        <v>67</v>
      </c>
      <c r="AA23" s="58">
        <v>0</v>
      </c>
      <c r="AB23" s="61" t="str">
        <f t="shared" si="8"/>
        <v>No</v>
      </c>
      <c r="AG23" s="56" t="b">
        <v>1</v>
      </c>
    </row>
    <row r="24" spans="1:33" x14ac:dyDescent="0.3">
      <c r="A24" s="3">
        <v>1597</v>
      </c>
      <c r="B24" s="67">
        <v>9127</v>
      </c>
      <c r="C24" s="52">
        <v>0.115</v>
      </c>
      <c r="D24" s="56" t="s">
        <v>76</v>
      </c>
      <c r="E24" s="52">
        <f t="shared" si="6"/>
        <v>0.08</v>
      </c>
      <c r="F24" s="56">
        <f t="shared" si="0"/>
        <v>116</v>
      </c>
      <c r="G24" s="56">
        <v>40933.71</v>
      </c>
      <c r="H24" s="56">
        <v>2864013.8755000001</v>
      </c>
      <c r="I24" s="56">
        <v>180</v>
      </c>
      <c r="J24" s="58">
        <v>42491</v>
      </c>
      <c r="K24" s="58">
        <v>42552</v>
      </c>
      <c r="L24" s="56">
        <v>4380393</v>
      </c>
      <c r="M24" s="66" t="s">
        <v>67</v>
      </c>
      <c r="N24" s="66" t="s">
        <v>67</v>
      </c>
      <c r="O24" s="56">
        <v>6685712.1200000001</v>
      </c>
      <c r="P24" s="56">
        <v>4727190</v>
      </c>
      <c r="Q24" s="68">
        <f t="shared" si="7"/>
        <v>0.27676832752628394</v>
      </c>
      <c r="R24" s="69">
        <f t="shared" si="1"/>
        <v>0.70705856237196163</v>
      </c>
      <c r="S24" s="56">
        <v>0</v>
      </c>
      <c r="T24" s="56">
        <f t="shared" si="2"/>
        <v>64</v>
      </c>
      <c r="U24" s="56">
        <v>10348055</v>
      </c>
      <c r="V24" s="70" t="s">
        <v>124</v>
      </c>
      <c r="W24" s="56" t="b">
        <v>0</v>
      </c>
      <c r="X24" s="71">
        <f t="shared" si="3"/>
        <v>0.70705856237196163</v>
      </c>
      <c r="Y24" s="71">
        <f t="shared" si="4"/>
        <v>0.27676832752628394</v>
      </c>
      <c r="Z24" s="61">
        <f t="shared" si="5"/>
        <v>64</v>
      </c>
      <c r="AA24" s="58">
        <v>0</v>
      </c>
      <c r="AB24" s="61" t="str">
        <f t="shared" si="8"/>
        <v>No</v>
      </c>
      <c r="AG24" s="56" t="b">
        <v>1</v>
      </c>
    </row>
    <row r="25" spans="1:33" x14ac:dyDescent="0.3">
      <c r="A25" s="3">
        <v>1609</v>
      </c>
      <c r="B25" s="67">
        <v>0</v>
      </c>
      <c r="C25" s="52">
        <v>0.115</v>
      </c>
      <c r="D25" s="56" t="s">
        <v>76</v>
      </c>
      <c r="E25" s="52">
        <f t="shared" si="6"/>
        <v>0.08</v>
      </c>
      <c r="F25" s="56">
        <f t="shared" si="0"/>
        <v>118</v>
      </c>
      <c r="G25" s="56">
        <v>35386.44</v>
      </c>
      <c r="H25" s="56">
        <v>2499336.33</v>
      </c>
      <c r="I25" s="56">
        <v>180</v>
      </c>
      <c r="J25" s="58">
        <v>42522</v>
      </c>
      <c r="K25" s="58">
        <v>42614</v>
      </c>
      <c r="L25" s="56">
        <v>2921689.58</v>
      </c>
      <c r="M25" s="66" t="s">
        <v>53</v>
      </c>
      <c r="N25" s="66" t="s">
        <v>84</v>
      </c>
      <c r="O25" s="56">
        <v>4559635.7300000004</v>
      </c>
      <c r="P25" s="56">
        <v>3655689</v>
      </c>
      <c r="Q25" s="68">
        <f t="shared" si="7"/>
        <v>0.43199005156565384</v>
      </c>
      <c r="R25" s="69">
        <f t="shared" si="1"/>
        <v>0.80175023104312759</v>
      </c>
      <c r="S25" s="56">
        <v>0</v>
      </c>
      <c r="T25" s="56">
        <f t="shared" si="2"/>
        <v>62</v>
      </c>
      <c r="U25" s="56">
        <v>5785634</v>
      </c>
      <c r="V25" s="70" t="s">
        <v>124</v>
      </c>
      <c r="W25" s="56" t="b">
        <v>0</v>
      </c>
      <c r="X25" s="71">
        <f t="shared" si="3"/>
        <v>0.80175023104312759</v>
      </c>
      <c r="Y25" s="71">
        <f t="shared" si="4"/>
        <v>0.43199005156565384</v>
      </c>
      <c r="Z25" s="61">
        <f t="shared" si="5"/>
        <v>62</v>
      </c>
      <c r="AA25" s="58">
        <v>0</v>
      </c>
      <c r="AB25" s="61" t="str">
        <f t="shared" si="8"/>
        <v>No</v>
      </c>
      <c r="AG25" s="56" t="b">
        <v>1</v>
      </c>
    </row>
    <row r="26" spans="1:33" x14ac:dyDescent="0.3">
      <c r="A26" s="3">
        <v>1611</v>
      </c>
      <c r="B26" s="67">
        <v>9355</v>
      </c>
      <c r="C26" s="52">
        <v>0.115</v>
      </c>
      <c r="D26" s="56" t="s">
        <v>76</v>
      </c>
      <c r="E26" s="52">
        <f t="shared" si="6"/>
        <v>0.08</v>
      </c>
      <c r="F26" s="56">
        <f t="shared" si="0"/>
        <v>118</v>
      </c>
      <c r="G26" s="56">
        <v>25078.6</v>
      </c>
      <c r="H26" s="56">
        <v>1771295.88</v>
      </c>
      <c r="I26" s="56">
        <v>180</v>
      </c>
      <c r="J26" s="58">
        <v>42552</v>
      </c>
      <c r="K26" s="58">
        <v>42614</v>
      </c>
      <c r="L26" s="56">
        <v>2075400</v>
      </c>
      <c r="M26" s="66" t="s">
        <v>53</v>
      </c>
      <c r="N26" s="66" t="s">
        <v>90</v>
      </c>
      <c r="O26" s="56">
        <v>3563551.2</v>
      </c>
      <c r="P26" s="56">
        <v>2825400</v>
      </c>
      <c r="Q26" s="68">
        <f t="shared" si="7"/>
        <v>0.45903716258241073</v>
      </c>
      <c r="R26" s="69">
        <f t="shared" si="1"/>
        <v>0.79286078448935993</v>
      </c>
      <c r="S26" s="56">
        <v>0</v>
      </c>
      <c r="T26" s="56">
        <f t="shared" si="2"/>
        <v>62</v>
      </c>
      <c r="U26" s="56">
        <v>3858720</v>
      </c>
      <c r="V26" s="70" t="s">
        <v>124</v>
      </c>
      <c r="W26" s="56" t="b">
        <v>0</v>
      </c>
      <c r="X26" s="71">
        <f t="shared" si="3"/>
        <v>0.79286078448935993</v>
      </c>
      <c r="Y26" s="71">
        <f t="shared" si="4"/>
        <v>0.45903716258241073</v>
      </c>
      <c r="Z26" s="61">
        <f t="shared" si="5"/>
        <v>62</v>
      </c>
      <c r="AA26" s="58">
        <v>0</v>
      </c>
      <c r="AB26" s="61" t="str">
        <f t="shared" si="8"/>
        <v>No</v>
      </c>
      <c r="AG26" s="56" t="b">
        <v>1</v>
      </c>
    </row>
    <row r="27" spans="1:33" x14ac:dyDescent="0.3">
      <c r="A27" s="3">
        <v>1626</v>
      </c>
      <c r="B27" s="67">
        <v>9375</v>
      </c>
      <c r="C27" s="52">
        <v>0.1</v>
      </c>
      <c r="D27" s="56" t="s">
        <v>76</v>
      </c>
      <c r="E27" s="52">
        <f t="shared" si="6"/>
        <v>6.5000000000000002E-2</v>
      </c>
      <c r="F27" s="56">
        <f t="shared" si="0"/>
        <v>120</v>
      </c>
      <c r="G27" s="56">
        <v>89288.21</v>
      </c>
      <c r="H27" s="56">
        <v>6762598.2000000002</v>
      </c>
      <c r="I27" s="56">
        <v>180</v>
      </c>
      <c r="J27" s="58">
        <v>42583</v>
      </c>
      <c r="K27" s="58">
        <v>42675</v>
      </c>
      <c r="L27" s="56">
        <v>12430926.52</v>
      </c>
      <c r="M27" s="66" t="s">
        <v>67</v>
      </c>
      <c r="N27" s="66" t="s">
        <v>67</v>
      </c>
      <c r="O27" s="56">
        <v>28613370</v>
      </c>
      <c r="P27" s="56">
        <v>18434628</v>
      </c>
      <c r="Q27" s="68">
        <f t="shared" si="7"/>
        <v>0.30073565655165962</v>
      </c>
      <c r="R27" s="69">
        <f t="shared" si="1"/>
        <v>0.64426622938856903</v>
      </c>
      <c r="S27" s="56">
        <v>0</v>
      </c>
      <c r="T27" s="56">
        <f t="shared" si="2"/>
        <v>60</v>
      </c>
      <c r="U27" s="56">
        <v>22486852</v>
      </c>
      <c r="V27" s="70" t="s">
        <v>124</v>
      </c>
      <c r="W27" s="56" t="b">
        <v>0</v>
      </c>
      <c r="X27" s="71">
        <f t="shared" si="3"/>
        <v>0.64426622938856903</v>
      </c>
      <c r="Y27" s="71">
        <f t="shared" si="4"/>
        <v>0.30073565655165962</v>
      </c>
      <c r="Z27" s="61">
        <f t="shared" si="5"/>
        <v>60</v>
      </c>
      <c r="AA27" s="58">
        <v>0</v>
      </c>
      <c r="AB27" s="61" t="str">
        <f t="shared" si="8"/>
        <v>No</v>
      </c>
      <c r="AG27" s="56" t="b">
        <v>1</v>
      </c>
    </row>
    <row r="28" spans="1:33" x14ac:dyDescent="0.3">
      <c r="A28" s="3">
        <v>1630</v>
      </c>
      <c r="B28" s="67">
        <v>9429</v>
      </c>
      <c r="C28" s="52">
        <v>0.10050000000000001</v>
      </c>
      <c r="D28" s="56" t="s">
        <v>76</v>
      </c>
      <c r="E28" s="52">
        <f t="shared" si="6"/>
        <v>6.5500000000000003E-2</v>
      </c>
      <c r="F28" s="56">
        <f t="shared" si="0"/>
        <v>134</v>
      </c>
      <c r="G28" s="56">
        <v>319231.77</v>
      </c>
      <c r="H28" s="56">
        <v>24121443.18</v>
      </c>
      <c r="I28" s="56">
        <v>180</v>
      </c>
      <c r="J28" s="58">
        <v>42614</v>
      </c>
      <c r="K28" s="58">
        <v>43101</v>
      </c>
      <c r="L28" s="56">
        <v>22172013.440000001</v>
      </c>
      <c r="M28" s="66" t="s">
        <v>53</v>
      </c>
      <c r="N28" s="66" t="s">
        <v>91</v>
      </c>
      <c r="O28" s="56">
        <v>31048125.199999999</v>
      </c>
      <c r="P28" s="56">
        <v>22166900</v>
      </c>
      <c r="Q28" s="68">
        <f t="shared" si="7"/>
        <v>0.62060393396644353</v>
      </c>
      <c r="R28" s="69">
        <f t="shared" si="1"/>
        <v>0.71395293136733429</v>
      </c>
      <c r="S28" s="56">
        <v>0</v>
      </c>
      <c r="T28" s="56">
        <f t="shared" si="2"/>
        <v>46</v>
      </c>
      <c r="U28" s="56">
        <v>38867693</v>
      </c>
      <c r="V28" s="70" t="s">
        <v>124</v>
      </c>
      <c r="W28" s="56" t="b">
        <v>0</v>
      </c>
      <c r="X28" s="71">
        <f t="shared" si="3"/>
        <v>0.71395293136733429</v>
      </c>
      <c r="Y28" s="71">
        <f t="shared" si="4"/>
        <v>0.62060393396644353</v>
      </c>
      <c r="Z28" s="61">
        <f t="shared" si="5"/>
        <v>46</v>
      </c>
      <c r="AA28" s="58">
        <v>0</v>
      </c>
      <c r="AB28" s="61" t="str">
        <f t="shared" si="8"/>
        <v>No</v>
      </c>
      <c r="AG28" s="56" t="b">
        <v>1</v>
      </c>
    </row>
    <row r="29" spans="1:33" x14ac:dyDescent="0.3">
      <c r="A29" s="3">
        <v>843</v>
      </c>
      <c r="B29" s="67">
        <v>8042</v>
      </c>
      <c r="C29" s="52">
        <v>0.1</v>
      </c>
      <c r="D29" s="56" t="s">
        <v>76</v>
      </c>
      <c r="E29" s="52">
        <f t="shared" si="6"/>
        <v>6.5000000000000002E-2</v>
      </c>
      <c r="F29" s="56">
        <f t="shared" si="0"/>
        <v>44</v>
      </c>
      <c r="G29" s="56">
        <v>29389.61</v>
      </c>
      <c r="H29" s="56">
        <v>872248.11</v>
      </c>
      <c r="I29" s="56">
        <v>180</v>
      </c>
      <c r="J29" s="58">
        <v>40026</v>
      </c>
      <c r="K29" s="58">
        <v>40360</v>
      </c>
      <c r="L29" s="56">
        <v>2226110</v>
      </c>
      <c r="M29" s="66" t="s">
        <v>53</v>
      </c>
      <c r="N29" s="66" t="s">
        <v>80</v>
      </c>
      <c r="O29" s="56">
        <v>2941741.32</v>
      </c>
      <c r="P29" s="56">
        <v>2274000</v>
      </c>
      <c r="Q29" s="68">
        <f t="shared" si="7"/>
        <v>0.1699071542316177</v>
      </c>
      <c r="R29" s="69">
        <f t="shared" si="1"/>
        <v>0.77301154406057704</v>
      </c>
      <c r="S29" s="56">
        <v>0</v>
      </c>
      <c r="T29" s="56">
        <f t="shared" si="2"/>
        <v>136</v>
      </c>
      <c r="U29" s="56">
        <v>5133675</v>
      </c>
      <c r="V29" s="70" t="s">
        <v>124</v>
      </c>
      <c r="W29" s="56" t="b">
        <v>0</v>
      </c>
      <c r="X29" s="71">
        <f t="shared" si="3"/>
        <v>0.77301154406057704</v>
      </c>
      <c r="Y29" s="71">
        <f t="shared" si="4"/>
        <v>0.1699071542316177</v>
      </c>
      <c r="Z29" s="61">
        <f t="shared" si="5"/>
        <v>136</v>
      </c>
      <c r="AA29" s="58">
        <v>0</v>
      </c>
      <c r="AB29" s="61" t="str">
        <f t="shared" si="8"/>
        <v>No</v>
      </c>
      <c r="AG29" s="56" t="b">
        <v>1</v>
      </c>
    </row>
    <row r="30" spans="1:33" x14ac:dyDescent="0.3">
      <c r="A30" s="3">
        <v>1647</v>
      </c>
      <c r="B30" s="67">
        <v>7996</v>
      </c>
      <c r="C30" s="52">
        <v>9.0999999999999998E-2</v>
      </c>
      <c r="D30" s="56" t="s">
        <v>76</v>
      </c>
      <c r="E30" s="52">
        <f t="shared" si="6"/>
        <v>5.5999999999999994E-2</v>
      </c>
      <c r="F30" s="56">
        <f t="shared" si="0"/>
        <v>122</v>
      </c>
      <c r="G30" s="56">
        <v>81680.39</v>
      </c>
      <c r="H30" s="56">
        <v>10979730.85</v>
      </c>
      <c r="I30" s="56">
        <v>180</v>
      </c>
      <c r="J30" s="58">
        <v>42675</v>
      </c>
      <c r="K30" s="58">
        <v>42736</v>
      </c>
      <c r="L30" s="56">
        <v>10724159.380000001</v>
      </c>
      <c r="M30" s="66" t="s">
        <v>53</v>
      </c>
      <c r="N30" s="66" t="s">
        <v>78</v>
      </c>
      <c r="O30" s="56">
        <v>13485643.050000001</v>
      </c>
      <c r="P30" s="56">
        <v>8131005</v>
      </c>
      <c r="Q30" s="68">
        <f t="shared" si="7"/>
        <v>0.66377609775569868</v>
      </c>
      <c r="R30" s="69">
        <f t="shared" si="1"/>
        <v>0.60293787770098217</v>
      </c>
      <c r="S30" s="56">
        <v>0</v>
      </c>
      <c r="T30" s="56">
        <f t="shared" si="2"/>
        <v>58</v>
      </c>
      <c r="U30" s="56">
        <v>16541317</v>
      </c>
      <c r="V30" s="70" t="s">
        <v>125</v>
      </c>
      <c r="W30" s="56" t="b">
        <v>0</v>
      </c>
      <c r="X30" s="71">
        <f t="shared" si="3"/>
        <v>0.60293787770098217</v>
      </c>
      <c r="Y30" s="71">
        <f t="shared" si="4"/>
        <v>0.66377609775569868</v>
      </c>
      <c r="Z30" s="61">
        <f t="shared" si="5"/>
        <v>58</v>
      </c>
      <c r="AA30" s="58">
        <v>44530</v>
      </c>
      <c r="AB30" s="61" t="str">
        <f t="shared" si="8"/>
        <v>No</v>
      </c>
      <c r="AG30" s="56" t="b">
        <v>1</v>
      </c>
    </row>
    <row r="31" spans="1:33" x14ac:dyDescent="0.3">
      <c r="A31" s="3">
        <v>1650</v>
      </c>
      <c r="B31" s="67">
        <v>7996</v>
      </c>
      <c r="C31" s="52">
        <v>9.0999999999999998E-2</v>
      </c>
      <c r="D31" s="56" t="s">
        <v>76</v>
      </c>
      <c r="E31" s="52">
        <f t="shared" si="6"/>
        <v>5.5999999999999994E-2</v>
      </c>
      <c r="F31" s="56">
        <f t="shared" si="0"/>
        <v>122</v>
      </c>
      <c r="G31" s="56">
        <v>64326.64</v>
      </c>
      <c r="H31" s="56">
        <v>8646986.8300000001</v>
      </c>
      <c r="I31" s="56">
        <v>180</v>
      </c>
      <c r="J31" s="58">
        <v>42675</v>
      </c>
      <c r="K31" s="58">
        <v>42736</v>
      </c>
      <c r="L31" s="56">
        <v>8471200</v>
      </c>
      <c r="M31" s="66" t="s">
        <v>53</v>
      </c>
      <c r="N31" s="66" t="s">
        <v>79</v>
      </c>
      <c r="O31" s="56">
        <v>12876041.08</v>
      </c>
      <c r="P31" s="56">
        <v>8471200</v>
      </c>
      <c r="Q31" s="68">
        <f t="shared" si="7"/>
        <v>0.61971126513813879</v>
      </c>
      <c r="R31" s="69">
        <f t="shared" si="1"/>
        <v>0.6579040830459979</v>
      </c>
      <c r="S31" s="56">
        <v>0</v>
      </c>
      <c r="T31" s="56">
        <f t="shared" si="2"/>
        <v>58</v>
      </c>
      <c r="U31" s="56">
        <v>13953251</v>
      </c>
      <c r="V31" s="70" t="s">
        <v>125</v>
      </c>
      <c r="W31" s="56" t="b">
        <v>0</v>
      </c>
      <c r="X31" s="71">
        <f t="shared" si="3"/>
        <v>0.6579040830459979</v>
      </c>
      <c r="Y31" s="71">
        <f t="shared" si="4"/>
        <v>0.61971126513813879</v>
      </c>
      <c r="Z31" s="61">
        <f t="shared" si="5"/>
        <v>58</v>
      </c>
      <c r="AA31" s="58">
        <v>44620</v>
      </c>
      <c r="AB31" s="61" t="str">
        <f t="shared" si="8"/>
        <v>Yes</v>
      </c>
      <c r="AG31" s="56" t="b">
        <v>1</v>
      </c>
    </row>
    <row r="32" spans="1:33" x14ac:dyDescent="0.3">
      <c r="A32" s="3">
        <v>1665</v>
      </c>
      <c r="B32" s="67">
        <v>8865</v>
      </c>
      <c r="C32" s="52">
        <v>0.105</v>
      </c>
      <c r="D32" s="56" t="s">
        <v>76</v>
      </c>
      <c r="E32" s="52">
        <f t="shared" si="6"/>
        <v>6.9999999999999993E-2</v>
      </c>
      <c r="F32" s="56">
        <f t="shared" si="0"/>
        <v>123</v>
      </c>
      <c r="G32" s="56">
        <v>35087.65</v>
      </c>
      <c r="H32" s="56">
        <v>2640687.0299999998</v>
      </c>
      <c r="I32" s="56">
        <v>180</v>
      </c>
      <c r="J32" s="58">
        <v>42705</v>
      </c>
      <c r="K32" s="58">
        <v>42767</v>
      </c>
      <c r="L32" s="56">
        <v>2879203</v>
      </c>
      <c r="M32" s="66" t="s">
        <v>53</v>
      </c>
      <c r="N32" s="66" t="s">
        <v>80</v>
      </c>
      <c r="O32" s="56">
        <v>3587546.03</v>
      </c>
      <c r="P32" s="56">
        <v>2879203</v>
      </c>
      <c r="Q32" s="68">
        <f t="shared" si="7"/>
        <v>0.52248164667111452</v>
      </c>
      <c r="R32" s="69">
        <f t="shared" si="1"/>
        <v>0.8025549988553039</v>
      </c>
      <c r="S32" s="56">
        <v>0</v>
      </c>
      <c r="T32" s="56">
        <f t="shared" si="2"/>
        <v>57</v>
      </c>
      <c r="U32" s="56">
        <v>5054124</v>
      </c>
      <c r="V32" s="70" t="s">
        <v>124</v>
      </c>
      <c r="W32" s="56" t="b">
        <v>0</v>
      </c>
      <c r="X32" s="71">
        <f t="shared" si="3"/>
        <v>0.8025549988553039</v>
      </c>
      <c r="Y32" s="71">
        <f t="shared" si="4"/>
        <v>0.52248164667111452</v>
      </c>
      <c r="Z32" s="61">
        <f t="shared" si="5"/>
        <v>57</v>
      </c>
      <c r="AA32" s="58">
        <v>0</v>
      </c>
      <c r="AB32" s="61" t="str">
        <f t="shared" si="8"/>
        <v>No</v>
      </c>
      <c r="AG32" s="56" t="b">
        <v>1</v>
      </c>
    </row>
    <row r="33" spans="1:33" x14ac:dyDescent="0.3">
      <c r="A33" s="3">
        <v>1666</v>
      </c>
      <c r="B33" s="67">
        <v>8943</v>
      </c>
      <c r="C33" s="52">
        <v>0.105</v>
      </c>
      <c r="D33" s="56" t="s">
        <v>76</v>
      </c>
      <c r="E33" s="52">
        <f t="shared" si="6"/>
        <v>6.9999999999999993E-2</v>
      </c>
      <c r="F33" s="56">
        <f t="shared" si="0"/>
        <v>123</v>
      </c>
      <c r="G33" s="56">
        <v>20917.32</v>
      </c>
      <c r="H33" s="56">
        <v>1574310.25</v>
      </c>
      <c r="I33" s="56">
        <v>180</v>
      </c>
      <c r="J33" s="58">
        <v>42705</v>
      </c>
      <c r="K33" s="58">
        <v>42767</v>
      </c>
      <c r="L33" s="56">
        <v>1738107.74</v>
      </c>
      <c r="M33" s="66" t="s">
        <v>53</v>
      </c>
      <c r="N33" s="66" t="s">
        <v>92</v>
      </c>
      <c r="O33" s="56">
        <v>2243314.59</v>
      </c>
      <c r="P33" s="56">
        <v>1804040</v>
      </c>
      <c r="Q33" s="68">
        <f t="shared" si="7"/>
        <v>0.56361781712380288</v>
      </c>
      <c r="R33" s="69">
        <f t="shared" si="1"/>
        <v>0.80418502515957879</v>
      </c>
      <c r="S33" s="56">
        <v>0</v>
      </c>
      <c r="T33" s="56">
        <f t="shared" si="2"/>
        <v>57</v>
      </c>
      <c r="U33" s="56">
        <v>2793223</v>
      </c>
      <c r="V33" s="70" t="s">
        <v>124</v>
      </c>
      <c r="W33" s="56" t="b">
        <v>0</v>
      </c>
      <c r="X33" s="71">
        <f t="shared" si="3"/>
        <v>0.80418502515957879</v>
      </c>
      <c r="Y33" s="71">
        <f t="shared" si="4"/>
        <v>0.56361781712380288</v>
      </c>
      <c r="Z33" s="61">
        <f t="shared" si="5"/>
        <v>57</v>
      </c>
      <c r="AA33" s="58">
        <v>44104</v>
      </c>
      <c r="AB33" s="61" t="str">
        <f t="shared" si="8"/>
        <v>No</v>
      </c>
      <c r="AG33" s="56" t="b">
        <v>1</v>
      </c>
    </row>
    <row r="34" spans="1:33" x14ac:dyDescent="0.3">
      <c r="A34" s="3">
        <v>1673</v>
      </c>
      <c r="B34" s="67">
        <v>8943</v>
      </c>
      <c r="C34" s="52">
        <v>0.1</v>
      </c>
      <c r="D34" s="56" t="s">
        <v>76</v>
      </c>
      <c r="E34" s="52">
        <f t="shared" si="6"/>
        <v>6.5000000000000002E-2</v>
      </c>
      <c r="F34" s="56">
        <f t="shared" si="0"/>
        <v>132</v>
      </c>
      <c r="G34" s="56">
        <v>27969.67</v>
      </c>
      <c r="H34" s="56">
        <v>2169458.86</v>
      </c>
      <c r="I34" s="56">
        <v>180</v>
      </c>
      <c r="J34" s="58">
        <v>42767</v>
      </c>
      <c r="K34" s="58">
        <v>43040</v>
      </c>
      <c r="L34" s="56">
        <v>2354121.06</v>
      </c>
      <c r="M34" s="66" t="s">
        <v>53</v>
      </c>
      <c r="N34" s="66" t="s">
        <v>93</v>
      </c>
      <c r="O34" s="56">
        <v>3188301.14</v>
      </c>
      <c r="P34" s="56">
        <v>1844412</v>
      </c>
      <c r="Q34" s="68">
        <f t="shared" si="7"/>
        <v>0.51889000160489418</v>
      </c>
      <c r="R34" s="69">
        <f t="shared" si="1"/>
        <v>0.57849366136098423</v>
      </c>
      <c r="S34" s="56">
        <v>0</v>
      </c>
      <c r="T34" s="56">
        <f t="shared" si="2"/>
        <v>48</v>
      </c>
      <c r="U34" s="56">
        <v>4180961</v>
      </c>
      <c r="V34" s="70" t="s">
        <v>124</v>
      </c>
      <c r="W34" s="56" t="b">
        <v>0</v>
      </c>
      <c r="X34" s="71">
        <f t="shared" si="3"/>
        <v>0.57849366136098423</v>
      </c>
      <c r="Y34" s="71">
        <f t="shared" si="4"/>
        <v>0.51889000160489418</v>
      </c>
      <c r="Z34" s="61">
        <f t="shared" si="5"/>
        <v>48</v>
      </c>
      <c r="AA34" s="58">
        <v>0</v>
      </c>
      <c r="AB34" s="61" t="str">
        <f t="shared" si="8"/>
        <v>No</v>
      </c>
      <c r="AG34" s="56" t="b">
        <v>1</v>
      </c>
    </row>
    <row r="35" spans="1:33" x14ac:dyDescent="0.3">
      <c r="A35" s="3">
        <v>1692</v>
      </c>
      <c r="B35" s="67">
        <v>7996</v>
      </c>
      <c r="C35" s="52">
        <v>9.4399999999999998E-2</v>
      </c>
      <c r="D35" s="56" t="s">
        <v>76</v>
      </c>
      <c r="E35" s="52">
        <f t="shared" si="6"/>
        <v>5.9399999999999994E-2</v>
      </c>
      <c r="F35" s="56">
        <f t="shared" ref="F35:F66" si="9">I35-T35</f>
        <v>127</v>
      </c>
      <c r="G35" s="56">
        <v>16084.67</v>
      </c>
      <c r="H35" s="56">
        <v>2084696</v>
      </c>
      <c r="I35" s="56">
        <v>180</v>
      </c>
      <c r="J35" s="58">
        <v>42856</v>
      </c>
      <c r="K35" s="58">
        <v>42887</v>
      </c>
      <c r="L35" s="56">
        <v>2040053.15</v>
      </c>
      <c r="M35" s="66" t="s">
        <v>53</v>
      </c>
      <c r="N35" s="66" t="s">
        <v>80</v>
      </c>
      <c r="O35" s="56">
        <v>2737172</v>
      </c>
      <c r="P35" s="56">
        <v>2043621</v>
      </c>
      <c r="Q35" s="68">
        <f t="shared" si="7"/>
        <v>0.60715451729128245</v>
      </c>
      <c r="R35" s="69">
        <f t="shared" ref="R35:R66" si="10">P35/O35</f>
        <v>0.7466176769307884</v>
      </c>
      <c r="S35" s="56">
        <v>0</v>
      </c>
      <c r="T35" s="56">
        <f t="shared" ref="T35:T66" si="11">+DATEDIF(EOMONTH($K35,-1),$Z$1+1,"M")</f>
        <v>53</v>
      </c>
      <c r="U35" s="56">
        <v>3433551</v>
      </c>
      <c r="V35" s="70" t="s">
        <v>125</v>
      </c>
      <c r="W35" s="56" t="b">
        <v>0</v>
      </c>
      <c r="X35" s="71">
        <f t="shared" ref="X35:X66" si="12">+P35/O35</f>
        <v>0.7466176769307884</v>
      </c>
      <c r="Y35" s="71">
        <f t="shared" ref="Y35:Y66" si="13">+H35/U35</f>
        <v>0.60715451729128245</v>
      </c>
      <c r="Z35" s="61">
        <f t="shared" ref="Z35:Z66" si="14">+DATEDIF(EOMONTH(K35,-1),$Z$1+1,"M")</f>
        <v>53</v>
      </c>
      <c r="AA35" s="58">
        <v>44712</v>
      </c>
      <c r="AB35" s="61" t="str">
        <f t="shared" si="8"/>
        <v>Yes</v>
      </c>
      <c r="AG35" s="56" t="b">
        <v>1</v>
      </c>
    </row>
    <row r="36" spans="1:33" x14ac:dyDescent="0.3">
      <c r="A36" s="3">
        <v>1705</v>
      </c>
      <c r="B36" s="67">
        <v>8865</v>
      </c>
      <c r="C36" s="52">
        <v>0.105</v>
      </c>
      <c r="D36" s="56" t="s">
        <v>76</v>
      </c>
      <c r="E36" s="52">
        <f t="shared" si="6"/>
        <v>6.9999999999999993E-2</v>
      </c>
      <c r="F36" s="56">
        <f t="shared" si="9"/>
        <v>133</v>
      </c>
      <c r="G36" s="56">
        <v>22974.25</v>
      </c>
      <c r="H36" s="56">
        <v>1775490.73</v>
      </c>
      <c r="I36" s="56">
        <v>180</v>
      </c>
      <c r="J36" s="58">
        <v>42887</v>
      </c>
      <c r="K36" s="58">
        <v>43070</v>
      </c>
      <c r="L36" s="56">
        <v>1757357</v>
      </c>
      <c r="M36" s="66" t="s">
        <v>53</v>
      </c>
      <c r="N36" s="66" t="s">
        <v>94</v>
      </c>
      <c r="O36" s="56">
        <v>2046584.15</v>
      </c>
      <c r="P36" s="56">
        <v>1441987</v>
      </c>
      <c r="Q36" s="68">
        <f t="shared" si="7"/>
        <v>0.50768950742851848</v>
      </c>
      <c r="R36" s="69">
        <f t="shared" si="10"/>
        <v>0.70458231585542186</v>
      </c>
      <c r="S36" s="56">
        <v>0</v>
      </c>
      <c r="T36" s="56">
        <f t="shared" si="11"/>
        <v>47</v>
      </c>
      <c r="U36" s="56">
        <v>3497198</v>
      </c>
      <c r="V36" s="70" t="s">
        <v>124</v>
      </c>
      <c r="W36" s="56" t="b">
        <v>0</v>
      </c>
      <c r="X36" s="71">
        <f t="shared" si="12"/>
        <v>0.70458231585542186</v>
      </c>
      <c r="Y36" s="71">
        <f t="shared" si="13"/>
        <v>0.50768950742851848</v>
      </c>
      <c r="Z36" s="61">
        <f t="shared" si="14"/>
        <v>47</v>
      </c>
      <c r="AA36" s="58">
        <v>0</v>
      </c>
      <c r="AB36" s="61" t="str">
        <f t="shared" si="8"/>
        <v>No</v>
      </c>
      <c r="AG36" s="56" t="b">
        <v>1</v>
      </c>
    </row>
    <row r="37" spans="1:33" x14ac:dyDescent="0.3">
      <c r="A37" s="3">
        <v>1738</v>
      </c>
      <c r="B37" s="67">
        <v>7996</v>
      </c>
      <c r="C37" s="52">
        <v>9.4299999999999995E-2</v>
      </c>
      <c r="D37" s="56" t="s">
        <v>76</v>
      </c>
      <c r="E37" s="52">
        <f t="shared" si="6"/>
        <v>5.9299999999999992E-2</v>
      </c>
      <c r="F37" s="56">
        <f t="shared" si="9"/>
        <v>131</v>
      </c>
      <c r="G37" s="56">
        <v>249529.07</v>
      </c>
      <c r="H37" s="56">
        <v>32374978.43</v>
      </c>
      <c r="I37" s="56">
        <v>180</v>
      </c>
      <c r="J37" s="58">
        <v>42948</v>
      </c>
      <c r="K37" s="58">
        <v>43009</v>
      </c>
      <c r="L37" s="56">
        <v>31417376.600000001</v>
      </c>
      <c r="M37" s="66" t="s">
        <v>53</v>
      </c>
      <c r="N37" s="66" t="s">
        <v>79</v>
      </c>
      <c r="O37" s="56">
        <v>55038761.380000003</v>
      </c>
      <c r="P37" s="56">
        <v>33023333</v>
      </c>
      <c r="Q37" s="68">
        <f t="shared" si="7"/>
        <v>0.62048426687545366</v>
      </c>
      <c r="R37" s="69">
        <f t="shared" si="10"/>
        <v>0.60000138397009828</v>
      </c>
      <c r="S37" s="56">
        <v>0</v>
      </c>
      <c r="T37" s="56">
        <f t="shared" si="11"/>
        <v>49</v>
      </c>
      <c r="U37" s="56">
        <v>52176953</v>
      </c>
      <c r="V37" s="70" t="s">
        <v>125</v>
      </c>
      <c r="W37" s="56" t="b">
        <v>0</v>
      </c>
      <c r="X37" s="71">
        <f t="shared" si="12"/>
        <v>0.60000138397009828</v>
      </c>
      <c r="Y37" s="71">
        <f t="shared" si="13"/>
        <v>0.62048426687545366</v>
      </c>
      <c r="Z37" s="61">
        <f t="shared" si="14"/>
        <v>49</v>
      </c>
      <c r="AA37" s="58">
        <v>44834</v>
      </c>
      <c r="AB37" s="61" t="str">
        <f t="shared" si="8"/>
        <v>Yes</v>
      </c>
      <c r="AG37" s="56" t="b">
        <v>1</v>
      </c>
    </row>
    <row r="38" spans="1:33" x14ac:dyDescent="0.3">
      <c r="A38" s="3">
        <v>1742</v>
      </c>
      <c r="B38" s="67">
        <v>8943</v>
      </c>
      <c r="C38" s="52">
        <v>0.105</v>
      </c>
      <c r="D38" s="56" t="s">
        <v>76</v>
      </c>
      <c r="E38" s="52">
        <f t="shared" si="6"/>
        <v>6.9999999999999993E-2</v>
      </c>
      <c r="F38" s="56">
        <f t="shared" si="9"/>
        <v>139</v>
      </c>
      <c r="G38" s="56">
        <v>32270.5</v>
      </c>
      <c r="H38" s="56">
        <v>2553937.73</v>
      </c>
      <c r="I38" s="56">
        <v>180</v>
      </c>
      <c r="J38" s="58">
        <v>42979</v>
      </c>
      <c r="K38" s="58">
        <v>43252</v>
      </c>
      <c r="L38" s="56">
        <v>2594665.67</v>
      </c>
      <c r="M38" s="66" t="s">
        <v>53</v>
      </c>
      <c r="N38" s="66" t="s">
        <v>92</v>
      </c>
      <c r="O38" s="56">
        <v>3129667.76</v>
      </c>
      <c r="P38" s="56">
        <v>2374116</v>
      </c>
      <c r="Q38" s="68">
        <f t="shared" si="7"/>
        <v>0.61158479276731859</v>
      </c>
      <c r="R38" s="69">
        <f t="shared" si="10"/>
        <v>0.75858403576998223</v>
      </c>
      <c r="S38" s="56">
        <v>17884.03</v>
      </c>
      <c r="T38" s="56">
        <f t="shared" si="11"/>
        <v>41</v>
      </c>
      <c r="U38" s="56">
        <v>4175934</v>
      </c>
      <c r="V38" s="70" t="s">
        <v>124</v>
      </c>
      <c r="W38" s="56" t="b">
        <v>0</v>
      </c>
      <c r="X38" s="71">
        <f t="shared" si="12"/>
        <v>0.75858403576998223</v>
      </c>
      <c r="Y38" s="71">
        <f t="shared" si="13"/>
        <v>0.61158479276731859</v>
      </c>
      <c r="Z38" s="61">
        <f t="shared" si="14"/>
        <v>41</v>
      </c>
      <c r="AA38" s="58">
        <v>44104</v>
      </c>
      <c r="AB38" s="61" t="str">
        <f t="shared" si="8"/>
        <v>No</v>
      </c>
      <c r="AG38" s="56" t="b">
        <v>1</v>
      </c>
    </row>
    <row r="39" spans="1:33" x14ac:dyDescent="0.3">
      <c r="A39" s="3">
        <v>1747</v>
      </c>
      <c r="B39" s="67">
        <v>7968</v>
      </c>
      <c r="C39" s="52">
        <v>0.10099999999999999</v>
      </c>
      <c r="D39" s="56" t="s">
        <v>76</v>
      </c>
      <c r="E39" s="52">
        <f t="shared" si="6"/>
        <v>6.5999999999999989E-2</v>
      </c>
      <c r="F39" s="56">
        <f t="shared" si="9"/>
        <v>133</v>
      </c>
      <c r="G39" s="56">
        <v>59312.32</v>
      </c>
      <c r="H39" s="56">
        <v>4751156.5</v>
      </c>
      <c r="I39" s="56">
        <v>180</v>
      </c>
      <c r="J39" s="58">
        <v>43040</v>
      </c>
      <c r="K39" s="58">
        <v>43070</v>
      </c>
      <c r="L39" s="56">
        <v>5440029.0300000003</v>
      </c>
      <c r="M39" s="66" t="s">
        <v>53</v>
      </c>
      <c r="N39" s="66" t="s">
        <v>78</v>
      </c>
      <c r="O39" s="56">
        <v>10584989.66</v>
      </c>
      <c r="P39" s="56">
        <v>5339846</v>
      </c>
      <c r="Q39" s="68">
        <f t="shared" si="7"/>
        <v>0.43192331818181817</v>
      </c>
      <c r="R39" s="69">
        <f t="shared" si="10"/>
        <v>0.50447342619321933</v>
      </c>
      <c r="S39" s="56">
        <v>0</v>
      </c>
      <c r="T39" s="56">
        <f t="shared" si="11"/>
        <v>47</v>
      </c>
      <c r="U39" s="56">
        <v>11000000</v>
      </c>
      <c r="V39" s="70" t="s">
        <v>124</v>
      </c>
      <c r="W39" s="56" t="b">
        <v>0</v>
      </c>
      <c r="X39" s="71">
        <f t="shared" si="12"/>
        <v>0.50447342619321933</v>
      </c>
      <c r="Y39" s="71">
        <f t="shared" si="13"/>
        <v>0.43192331818181817</v>
      </c>
      <c r="Z39" s="61">
        <f t="shared" si="14"/>
        <v>47</v>
      </c>
      <c r="AA39" s="58">
        <v>0</v>
      </c>
      <c r="AB39" s="61" t="str">
        <f t="shared" si="8"/>
        <v>No</v>
      </c>
      <c r="AG39" s="56" t="b">
        <v>1</v>
      </c>
    </row>
    <row r="40" spans="1:33" x14ac:dyDescent="0.3">
      <c r="A40" s="3">
        <v>1755</v>
      </c>
      <c r="B40" s="67">
        <v>9663</v>
      </c>
      <c r="C40" s="52">
        <v>0.115</v>
      </c>
      <c r="D40" s="56" t="s">
        <v>76</v>
      </c>
      <c r="E40" s="52">
        <f t="shared" si="6"/>
        <v>0.08</v>
      </c>
      <c r="F40" s="56">
        <f t="shared" si="9"/>
        <v>140</v>
      </c>
      <c r="G40" s="56">
        <v>14627.31</v>
      </c>
      <c r="H40" s="56">
        <v>1104328.8600000001</v>
      </c>
      <c r="I40" s="56">
        <v>180</v>
      </c>
      <c r="J40" s="58">
        <v>43040</v>
      </c>
      <c r="K40" s="58">
        <v>43282</v>
      </c>
      <c r="L40" s="56">
        <v>1151506</v>
      </c>
      <c r="M40" s="66" t="s">
        <v>53</v>
      </c>
      <c r="N40" s="66" t="s">
        <v>95</v>
      </c>
      <c r="O40" s="56">
        <v>1770160.13</v>
      </c>
      <c r="P40" s="56">
        <v>1207545</v>
      </c>
      <c r="Q40" s="68">
        <f t="shared" si="7"/>
        <v>0.5596420877555458</v>
      </c>
      <c r="R40" s="69">
        <f t="shared" si="10"/>
        <v>0.68216709863417846</v>
      </c>
      <c r="S40" s="56">
        <v>0</v>
      </c>
      <c r="T40" s="56">
        <f t="shared" si="11"/>
        <v>40</v>
      </c>
      <c r="U40" s="56">
        <v>1973277</v>
      </c>
      <c r="V40" s="70" t="s">
        <v>124</v>
      </c>
      <c r="W40" s="56" t="b">
        <v>0</v>
      </c>
      <c r="X40" s="71">
        <f t="shared" si="12"/>
        <v>0.68216709863417846</v>
      </c>
      <c r="Y40" s="71">
        <f t="shared" si="13"/>
        <v>0.5596420877555458</v>
      </c>
      <c r="Z40" s="61">
        <f t="shared" si="14"/>
        <v>40</v>
      </c>
      <c r="AA40" s="58">
        <v>0</v>
      </c>
      <c r="AB40" s="61" t="str">
        <f t="shared" si="8"/>
        <v>No</v>
      </c>
      <c r="AG40" s="56" t="b">
        <v>1</v>
      </c>
    </row>
    <row r="41" spans="1:33" x14ac:dyDescent="0.3">
      <c r="A41" s="3">
        <v>1759</v>
      </c>
      <c r="B41" s="67">
        <v>9663</v>
      </c>
      <c r="C41" s="52">
        <v>0.115</v>
      </c>
      <c r="D41" s="56" t="s">
        <v>76</v>
      </c>
      <c r="E41" s="52">
        <f t="shared" si="6"/>
        <v>0.08</v>
      </c>
      <c r="F41" s="56">
        <f t="shared" si="9"/>
        <v>141</v>
      </c>
      <c r="G41" s="56">
        <v>10616.97</v>
      </c>
      <c r="H41" s="56">
        <v>804532.55</v>
      </c>
      <c r="I41" s="56">
        <v>180</v>
      </c>
      <c r="J41" s="58">
        <v>43040</v>
      </c>
      <c r="K41" s="58">
        <v>43313</v>
      </c>
      <c r="L41" s="56">
        <v>839173</v>
      </c>
      <c r="M41" s="66" t="s">
        <v>53</v>
      </c>
      <c r="N41" s="66" t="s">
        <v>92</v>
      </c>
      <c r="O41" s="56">
        <v>1259138.29</v>
      </c>
      <c r="P41" s="56">
        <v>937941</v>
      </c>
      <c r="Q41" s="68">
        <f t="shared" si="7"/>
        <v>0.47421989709638274</v>
      </c>
      <c r="R41" s="69">
        <f t="shared" si="10"/>
        <v>0.7449070586202251</v>
      </c>
      <c r="S41" s="56">
        <v>0</v>
      </c>
      <c r="T41" s="56">
        <f t="shared" si="11"/>
        <v>39</v>
      </c>
      <c r="U41" s="56">
        <v>1696539</v>
      </c>
      <c r="V41" s="70" t="s">
        <v>124</v>
      </c>
      <c r="W41" s="56" t="b">
        <v>0</v>
      </c>
      <c r="X41" s="71">
        <f t="shared" si="12"/>
        <v>0.7449070586202251</v>
      </c>
      <c r="Y41" s="71">
        <f t="shared" si="13"/>
        <v>0.47421989709638274</v>
      </c>
      <c r="Z41" s="61">
        <f t="shared" si="14"/>
        <v>39</v>
      </c>
      <c r="AA41" s="58">
        <v>0</v>
      </c>
      <c r="AB41" s="61" t="str">
        <f t="shared" si="8"/>
        <v>No</v>
      </c>
      <c r="AG41" s="56" t="b">
        <v>1</v>
      </c>
    </row>
    <row r="42" spans="1:33" x14ac:dyDescent="0.3">
      <c r="A42" s="3">
        <v>1764</v>
      </c>
      <c r="B42" s="67">
        <v>9697</v>
      </c>
      <c r="C42" s="52">
        <v>0.1075</v>
      </c>
      <c r="D42" s="56" t="s">
        <v>76</v>
      </c>
      <c r="E42" s="52">
        <f t="shared" si="6"/>
        <v>7.2499999999999995E-2</v>
      </c>
      <c r="F42" s="56">
        <f t="shared" si="9"/>
        <v>141</v>
      </c>
      <c r="G42" s="56">
        <v>13547.26</v>
      </c>
      <c r="H42" s="56">
        <v>1061073.6599999999</v>
      </c>
      <c r="I42" s="56">
        <v>180</v>
      </c>
      <c r="J42" s="58">
        <v>43070</v>
      </c>
      <c r="K42" s="58">
        <v>43313</v>
      </c>
      <c r="L42" s="56">
        <v>1136636</v>
      </c>
      <c r="M42" s="66" t="s">
        <v>53</v>
      </c>
      <c r="N42" s="66" t="s">
        <v>96</v>
      </c>
      <c r="O42" s="56">
        <v>1786861.89</v>
      </c>
      <c r="P42" s="56">
        <v>1177509</v>
      </c>
      <c r="Q42" s="68">
        <f t="shared" si="7"/>
        <v>0.59381992219876079</v>
      </c>
      <c r="R42" s="69">
        <f t="shared" si="10"/>
        <v>0.65898153997788833</v>
      </c>
      <c r="S42" s="56">
        <v>0</v>
      </c>
      <c r="T42" s="56">
        <f t="shared" si="11"/>
        <v>39</v>
      </c>
      <c r="U42" s="56">
        <v>1786861</v>
      </c>
      <c r="V42" s="70" t="s">
        <v>124</v>
      </c>
      <c r="W42" s="56" t="b">
        <v>0</v>
      </c>
      <c r="X42" s="71">
        <f t="shared" si="12"/>
        <v>0.65898153997788833</v>
      </c>
      <c r="Y42" s="71">
        <f t="shared" si="13"/>
        <v>0.59381992219876079</v>
      </c>
      <c r="Z42" s="61">
        <f t="shared" si="14"/>
        <v>39</v>
      </c>
      <c r="AA42" s="58">
        <v>0</v>
      </c>
      <c r="AB42" s="61" t="str">
        <f t="shared" si="8"/>
        <v>No</v>
      </c>
      <c r="AG42" s="56" t="b">
        <v>1</v>
      </c>
    </row>
    <row r="43" spans="1:33" x14ac:dyDescent="0.3">
      <c r="A43" s="3">
        <v>1768</v>
      </c>
      <c r="B43" s="67">
        <v>8685</v>
      </c>
      <c r="C43" s="52">
        <v>0.105</v>
      </c>
      <c r="D43" s="56" t="s">
        <v>76</v>
      </c>
      <c r="E43" s="52">
        <f t="shared" si="6"/>
        <v>6.9999999999999993E-2</v>
      </c>
      <c r="F43" s="56">
        <f t="shared" si="9"/>
        <v>135</v>
      </c>
      <c r="G43" s="56">
        <v>177781.31</v>
      </c>
      <c r="H43" s="56">
        <v>14080109.880000001</v>
      </c>
      <c r="I43" s="56">
        <v>180</v>
      </c>
      <c r="J43" s="58">
        <v>43070</v>
      </c>
      <c r="K43" s="58">
        <v>43132</v>
      </c>
      <c r="L43" s="56">
        <v>15131470.199999999</v>
      </c>
      <c r="M43" s="66" t="s">
        <v>62</v>
      </c>
      <c r="N43" s="66" t="s">
        <v>62</v>
      </c>
      <c r="O43" s="56">
        <v>15809348.9</v>
      </c>
      <c r="P43" s="56">
        <v>12703246</v>
      </c>
      <c r="Q43" s="68">
        <f t="shared" si="7"/>
        <v>0.7379512515723271</v>
      </c>
      <c r="R43" s="69">
        <f t="shared" si="10"/>
        <v>0.80352746215879889</v>
      </c>
      <c r="S43" s="56">
        <v>0</v>
      </c>
      <c r="T43" s="56">
        <f t="shared" si="11"/>
        <v>45</v>
      </c>
      <c r="U43" s="56">
        <v>19080000</v>
      </c>
      <c r="V43" s="70" t="s">
        <v>124</v>
      </c>
      <c r="W43" s="56" t="b">
        <v>0</v>
      </c>
      <c r="X43" s="71">
        <f t="shared" si="12"/>
        <v>0.80352746215879889</v>
      </c>
      <c r="Y43" s="71">
        <f t="shared" si="13"/>
        <v>0.7379512515723271</v>
      </c>
      <c r="Z43" s="61">
        <f t="shared" si="14"/>
        <v>45</v>
      </c>
      <c r="AA43" s="58">
        <v>44043</v>
      </c>
      <c r="AB43" s="61" t="str">
        <f t="shared" si="8"/>
        <v>No</v>
      </c>
      <c r="AG43" s="56" t="b">
        <v>1</v>
      </c>
    </row>
    <row r="44" spans="1:33" x14ac:dyDescent="0.3">
      <c r="A44" s="3">
        <v>1772</v>
      </c>
      <c r="B44" s="67">
        <v>9634</v>
      </c>
      <c r="C44" s="52">
        <v>0.105</v>
      </c>
      <c r="D44" s="56" t="s">
        <v>76</v>
      </c>
      <c r="E44" s="52">
        <f t="shared" si="6"/>
        <v>6.9999999999999993E-2</v>
      </c>
      <c r="F44" s="56">
        <f t="shared" si="9"/>
        <v>137</v>
      </c>
      <c r="G44" s="56">
        <v>27813.119999999999</v>
      </c>
      <c r="H44" s="56">
        <v>2219945.65</v>
      </c>
      <c r="I44" s="56">
        <v>180</v>
      </c>
      <c r="J44" s="58">
        <v>43101</v>
      </c>
      <c r="K44" s="58">
        <v>43191</v>
      </c>
      <c r="L44" s="56">
        <v>2441600</v>
      </c>
      <c r="M44" s="66" t="s">
        <v>53</v>
      </c>
      <c r="N44" s="66" t="s">
        <v>79</v>
      </c>
      <c r="O44" s="56">
        <v>8130561.1299999999</v>
      </c>
      <c r="P44" s="56">
        <v>5691600</v>
      </c>
      <c r="Q44" s="68">
        <f t="shared" si="7"/>
        <v>0.24412578834215837</v>
      </c>
      <c r="R44" s="69">
        <f t="shared" si="10"/>
        <v>0.7000254852028891</v>
      </c>
      <c r="S44" s="56">
        <v>0</v>
      </c>
      <c r="T44" s="56">
        <f t="shared" si="11"/>
        <v>43</v>
      </c>
      <c r="U44" s="56">
        <v>9093450</v>
      </c>
      <c r="V44" s="70" t="s">
        <v>124</v>
      </c>
      <c r="W44" s="56" t="b">
        <v>0</v>
      </c>
      <c r="X44" s="71">
        <f t="shared" si="12"/>
        <v>0.7000254852028891</v>
      </c>
      <c r="Y44" s="71">
        <f t="shared" si="13"/>
        <v>0.24412578834215837</v>
      </c>
      <c r="Z44" s="61">
        <f t="shared" si="14"/>
        <v>43</v>
      </c>
      <c r="AA44" s="58">
        <v>0</v>
      </c>
      <c r="AB44" s="61" t="str">
        <f t="shared" si="8"/>
        <v>No</v>
      </c>
      <c r="AG44" s="56" t="b">
        <v>1</v>
      </c>
    </row>
    <row r="45" spans="1:33" x14ac:dyDescent="0.3">
      <c r="A45" s="3">
        <v>1793</v>
      </c>
      <c r="B45" s="67">
        <v>9633</v>
      </c>
      <c r="C45" s="52">
        <v>9.7500000000000003E-2</v>
      </c>
      <c r="D45" s="56" t="s">
        <v>76</v>
      </c>
      <c r="E45" s="52">
        <f t="shared" si="6"/>
        <v>6.25E-2</v>
      </c>
      <c r="F45" s="56">
        <f t="shared" si="9"/>
        <v>138</v>
      </c>
      <c r="G45" s="56">
        <v>25875</v>
      </c>
      <c r="H45" s="56">
        <v>3247566.54</v>
      </c>
      <c r="I45" s="56">
        <v>180</v>
      </c>
      <c r="J45" s="58">
        <v>43160</v>
      </c>
      <c r="K45" s="58">
        <v>43221</v>
      </c>
      <c r="L45" s="56">
        <v>3218100</v>
      </c>
      <c r="M45" s="66" t="s">
        <v>53</v>
      </c>
      <c r="N45" s="66" t="s">
        <v>79</v>
      </c>
      <c r="O45" s="56">
        <v>6558004.5700000003</v>
      </c>
      <c r="P45" s="56">
        <v>3218100</v>
      </c>
      <c r="Q45" s="68">
        <f t="shared" si="7"/>
        <v>0.45238910042511865</v>
      </c>
      <c r="R45" s="69">
        <f t="shared" si="10"/>
        <v>0.49071329024706672</v>
      </c>
      <c r="S45" s="56">
        <v>0</v>
      </c>
      <c r="T45" s="56">
        <f t="shared" si="11"/>
        <v>42</v>
      </c>
      <c r="U45" s="56">
        <v>7178702</v>
      </c>
      <c r="V45" s="70" t="s">
        <v>125</v>
      </c>
      <c r="W45" s="56" t="b">
        <v>0</v>
      </c>
      <c r="X45" s="71">
        <f t="shared" si="12"/>
        <v>0.49071329024706672</v>
      </c>
      <c r="Y45" s="71">
        <f t="shared" si="13"/>
        <v>0.45238910042511865</v>
      </c>
      <c r="Z45" s="61">
        <f t="shared" si="14"/>
        <v>42</v>
      </c>
      <c r="AA45" s="58">
        <v>45138</v>
      </c>
      <c r="AB45" s="61" t="str">
        <f t="shared" si="8"/>
        <v>Yes</v>
      </c>
      <c r="AG45" s="56" t="b">
        <v>1</v>
      </c>
    </row>
    <row r="46" spans="1:33" x14ac:dyDescent="0.3">
      <c r="A46" s="3">
        <v>1804</v>
      </c>
      <c r="B46" s="67">
        <v>9692</v>
      </c>
      <c r="C46" s="52">
        <v>0.115</v>
      </c>
      <c r="D46" s="56" t="s">
        <v>76</v>
      </c>
      <c r="E46" s="52">
        <f t="shared" si="6"/>
        <v>0.08</v>
      </c>
      <c r="F46" s="56">
        <f t="shared" si="9"/>
        <v>139</v>
      </c>
      <c r="G46" s="56">
        <v>35157.699999999997</v>
      </c>
      <c r="H46" s="56">
        <v>2702663.74</v>
      </c>
      <c r="I46" s="56">
        <v>180</v>
      </c>
      <c r="J46" s="58">
        <v>43191</v>
      </c>
      <c r="K46" s="58">
        <v>43252</v>
      </c>
      <c r="L46" s="56">
        <v>2829582.28</v>
      </c>
      <c r="M46" s="66" t="s">
        <v>53</v>
      </c>
      <c r="N46" s="66" t="s">
        <v>97</v>
      </c>
      <c r="O46" s="56">
        <v>4265545</v>
      </c>
      <c r="P46" s="56">
        <v>3217874</v>
      </c>
      <c r="Q46" s="68">
        <f t="shared" si="7"/>
        <v>0.61740145133663604</v>
      </c>
      <c r="R46" s="69">
        <f t="shared" si="10"/>
        <v>0.75438754016192533</v>
      </c>
      <c r="S46" s="56">
        <v>0</v>
      </c>
      <c r="T46" s="56">
        <f t="shared" si="11"/>
        <v>41</v>
      </c>
      <c r="U46" s="56">
        <v>4377482</v>
      </c>
      <c r="V46" s="70" t="s">
        <v>124</v>
      </c>
      <c r="W46" s="56" t="b">
        <v>0</v>
      </c>
      <c r="X46" s="71">
        <f t="shared" si="12"/>
        <v>0.75438754016192533</v>
      </c>
      <c r="Y46" s="71">
        <f t="shared" si="13"/>
        <v>0.61740145133663604</v>
      </c>
      <c r="Z46" s="61">
        <f t="shared" si="14"/>
        <v>41</v>
      </c>
      <c r="AA46" s="58">
        <v>0</v>
      </c>
      <c r="AB46" s="61" t="str">
        <f t="shared" si="8"/>
        <v>No</v>
      </c>
      <c r="AG46" s="56" t="b">
        <v>1</v>
      </c>
    </row>
    <row r="47" spans="1:33" x14ac:dyDescent="0.3">
      <c r="A47" s="3">
        <v>1950</v>
      </c>
      <c r="B47" s="67">
        <v>10102</v>
      </c>
      <c r="C47" s="52">
        <v>9.8000000000000004E-2</v>
      </c>
      <c r="D47" s="56" t="s">
        <v>98</v>
      </c>
      <c r="E47" s="52">
        <f t="shared" si="6"/>
        <v>6.1250000000000006E-2</v>
      </c>
      <c r="F47" s="56">
        <f t="shared" si="9"/>
        <v>152</v>
      </c>
      <c r="G47" s="56">
        <v>71940.62</v>
      </c>
      <c r="H47" s="56">
        <v>6264261.5099999998</v>
      </c>
      <c r="I47" s="56">
        <v>180</v>
      </c>
      <c r="J47" s="58">
        <v>43586</v>
      </c>
      <c r="K47" s="58">
        <v>43647</v>
      </c>
      <c r="L47" s="56">
        <v>6649550.25</v>
      </c>
      <c r="M47" s="66" t="s">
        <v>67</v>
      </c>
      <c r="N47" s="66" t="s">
        <v>77</v>
      </c>
      <c r="O47" s="56">
        <v>7684431</v>
      </c>
      <c r="P47" s="56">
        <v>6018051</v>
      </c>
      <c r="Q47" s="68">
        <f t="shared" si="7"/>
        <v>0.75394774098932249</v>
      </c>
      <c r="R47" s="69">
        <f t="shared" si="10"/>
        <v>0.78314855062137978</v>
      </c>
      <c r="S47" s="56">
        <v>0</v>
      </c>
      <c r="T47" s="56">
        <f t="shared" si="11"/>
        <v>28</v>
      </c>
      <c r="U47" s="56">
        <v>8308615</v>
      </c>
      <c r="V47" s="70" t="s">
        <v>124</v>
      </c>
      <c r="W47" s="56" t="b">
        <v>0</v>
      </c>
      <c r="X47" s="71">
        <f t="shared" si="12"/>
        <v>0.78314855062137978</v>
      </c>
      <c r="Y47" s="71">
        <f t="shared" si="13"/>
        <v>0.75394774098932249</v>
      </c>
      <c r="Z47" s="61">
        <f t="shared" si="14"/>
        <v>28</v>
      </c>
      <c r="AA47" s="58">
        <v>0</v>
      </c>
      <c r="AB47" s="61" t="str">
        <f t="shared" si="8"/>
        <v>No</v>
      </c>
      <c r="AG47" s="56" t="b">
        <v>1</v>
      </c>
    </row>
    <row r="48" spans="1:33" x14ac:dyDescent="0.3">
      <c r="A48" s="3">
        <v>1856</v>
      </c>
      <c r="B48" s="67">
        <v>9924</v>
      </c>
      <c r="C48" s="52">
        <v>0.105</v>
      </c>
      <c r="D48" s="56" t="s">
        <v>76</v>
      </c>
      <c r="E48" s="52">
        <f t="shared" si="6"/>
        <v>6.9999999999999993E-2</v>
      </c>
      <c r="F48" s="56">
        <f t="shared" si="9"/>
        <v>150</v>
      </c>
      <c r="G48" s="56">
        <v>27949.759999999998</v>
      </c>
      <c r="H48" s="56">
        <v>2280940.79</v>
      </c>
      <c r="I48" s="56">
        <v>180</v>
      </c>
      <c r="J48" s="58">
        <v>43313</v>
      </c>
      <c r="K48" s="58">
        <v>43586</v>
      </c>
      <c r="L48" s="56">
        <v>2404410</v>
      </c>
      <c r="M48" s="66" t="s">
        <v>53</v>
      </c>
      <c r="N48" s="66" t="s">
        <v>99</v>
      </c>
      <c r="O48" s="56">
        <v>3222746</v>
      </c>
      <c r="P48" s="56">
        <v>2404410</v>
      </c>
      <c r="Q48" s="68">
        <f t="shared" si="7"/>
        <v>0.7077631280901443</v>
      </c>
      <c r="R48" s="69">
        <f t="shared" si="10"/>
        <v>0.74607493113016043</v>
      </c>
      <c r="S48" s="56">
        <v>0</v>
      </c>
      <c r="T48" s="56">
        <f t="shared" si="11"/>
        <v>30</v>
      </c>
      <c r="U48" s="56">
        <v>3222746</v>
      </c>
      <c r="V48" s="70" t="s">
        <v>124</v>
      </c>
      <c r="W48" s="56" t="b">
        <v>0</v>
      </c>
      <c r="X48" s="71">
        <f t="shared" si="12"/>
        <v>0.74607493113016043</v>
      </c>
      <c r="Y48" s="71">
        <f t="shared" si="13"/>
        <v>0.7077631280901443</v>
      </c>
      <c r="Z48" s="61">
        <f t="shared" si="14"/>
        <v>30</v>
      </c>
      <c r="AA48" s="58">
        <v>0</v>
      </c>
      <c r="AB48" s="61" t="str">
        <f t="shared" si="8"/>
        <v>No</v>
      </c>
      <c r="AG48" s="56" t="b">
        <v>1</v>
      </c>
    </row>
    <row r="49" spans="1:33" x14ac:dyDescent="0.3">
      <c r="A49" s="3">
        <v>1864</v>
      </c>
      <c r="B49" s="67">
        <v>8865</v>
      </c>
      <c r="C49" s="52">
        <v>0.115</v>
      </c>
      <c r="D49" s="56" t="s">
        <v>76</v>
      </c>
      <c r="E49" s="52">
        <f t="shared" si="6"/>
        <v>0.08</v>
      </c>
      <c r="F49" s="56">
        <f t="shared" si="9"/>
        <v>144</v>
      </c>
      <c r="G49" s="56">
        <v>23142.31</v>
      </c>
      <c r="H49" s="56">
        <v>1809349</v>
      </c>
      <c r="I49" s="56">
        <v>180</v>
      </c>
      <c r="J49" s="58">
        <v>43344</v>
      </c>
      <c r="K49" s="58">
        <v>43405</v>
      </c>
      <c r="L49" s="56">
        <v>1870894.69</v>
      </c>
      <c r="M49" s="66" t="s">
        <v>53</v>
      </c>
      <c r="N49" s="66" t="s">
        <v>84</v>
      </c>
      <c r="O49" s="56">
        <v>2801569</v>
      </c>
      <c r="P49" s="56">
        <v>1956807</v>
      </c>
      <c r="Q49" s="68">
        <f t="shared" si="7"/>
        <v>0.64583417363627316</v>
      </c>
      <c r="R49" s="69">
        <f t="shared" si="10"/>
        <v>0.69846825118353317</v>
      </c>
      <c r="S49" s="56">
        <v>0</v>
      </c>
      <c r="T49" s="56">
        <f t="shared" si="11"/>
        <v>36</v>
      </c>
      <c r="U49" s="56">
        <v>2801569</v>
      </c>
      <c r="V49" s="70" t="s">
        <v>124</v>
      </c>
      <c r="W49" s="56" t="b">
        <v>0</v>
      </c>
      <c r="X49" s="71">
        <f t="shared" si="12"/>
        <v>0.69846825118353317</v>
      </c>
      <c r="Y49" s="71">
        <f t="shared" si="13"/>
        <v>0.64583417363627316</v>
      </c>
      <c r="Z49" s="61">
        <f t="shared" si="14"/>
        <v>36</v>
      </c>
      <c r="AA49" s="58">
        <v>0</v>
      </c>
      <c r="AB49" s="61" t="str">
        <f t="shared" si="8"/>
        <v>No</v>
      </c>
      <c r="AG49" s="56" t="b">
        <v>1</v>
      </c>
    </row>
    <row r="50" spans="1:33" x14ac:dyDescent="0.3">
      <c r="A50" s="3">
        <v>1868</v>
      </c>
      <c r="B50" s="67">
        <v>9680</v>
      </c>
      <c r="C50" s="52">
        <v>0.105</v>
      </c>
      <c r="D50" s="56" t="s">
        <v>76</v>
      </c>
      <c r="E50" s="52">
        <f t="shared" si="6"/>
        <v>6.9999999999999993E-2</v>
      </c>
      <c r="F50" s="56">
        <f t="shared" si="9"/>
        <v>144</v>
      </c>
      <c r="G50" s="56">
        <v>8025.02</v>
      </c>
      <c r="H50" s="56">
        <v>657234.47</v>
      </c>
      <c r="I50" s="56">
        <v>180</v>
      </c>
      <c r="J50" s="58">
        <v>43344</v>
      </c>
      <c r="K50" s="58">
        <v>43405</v>
      </c>
      <c r="L50" s="56">
        <v>713847</v>
      </c>
      <c r="M50" s="66" t="s">
        <v>53</v>
      </c>
      <c r="N50" s="66" t="s">
        <v>60</v>
      </c>
      <c r="O50" s="56">
        <v>1177368.74</v>
      </c>
      <c r="P50" s="56">
        <v>713847</v>
      </c>
      <c r="Q50" s="68">
        <f t="shared" si="7"/>
        <v>0.55822313576968252</v>
      </c>
      <c r="R50" s="69">
        <f t="shared" si="10"/>
        <v>0.60630707759405944</v>
      </c>
      <c r="S50" s="56">
        <v>0</v>
      </c>
      <c r="T50" s="56">
        <f t="shared" si="11"/>
        <v>36</v>
      </c>
      <c r="U50" s="56">
        <v>1177368.74</v>
      </c>
      <c r="V50" s="70" t="s">
        <v>124</v>
      </c>
      <c r="W50" s="56" t="b">
        <v>0</v>
      </c>
      <c r="X50" s="71">
        <f t="shared" si="12"/>
        <v>0.60630707759405944</v>
      </c>
      <c r="Y50" s="71">
        <f t="shared" si="13"/>
        <v>0.55822313576968252</v>
      </c>
      <c r="Z50" s="61">
        <f t="shared" si="14"/>
        <v>36</v>
      </c>
      <c r="AA50" s="58">
        <v>0</v>
      </c>
      <c r="AB50" s="61" t="str">
        <f t="shared" si="8"/>
        <v>No</v>
      </c>
      <c r="AG50" s="56" t="b">
        <v>1</v>
      </c>
    </row>
    <row r="51" spans="1:33" x14ac:dyDescent="0.3">
      <c r="A51" s="3">
        <v>1871</v>
      </c>
      <c r="B51" s="67">
        <v>9693</v>
      </c>
      <c r="C51" s="52">
        <v>0.115</v>
      </c>
      <c r="D51" s="56" t="s">
        <v>76</v>
      </c>
      <c r="E51" s="52">
        <f t="shared" si="6"/>
        <v>0.08</v>
      </c>
      <c r="F51" s="56">
        <f t="shared" si="9"/>
        <v>145</v>
      </c>
      <c r="G51" s="56">
        <v>6430.72</v>
      </c>
      <c r="H51" s="56">
        <v>504415.11</v>
      </c>
      <c r="I51" s="56">
        <v>180</v>
      </c>
      <c r="J51" s="58">
        <v>43344</v>
      </c>
      <c r="K51" s="58">
        <v>43435</v>
      </c>
      <c r="L51" s="56">
        <v>519391</v>
      </c>
      <c r="M51" s="66" t="s">
        <v>53</v>
      </c>
      <c r="N51" s="66" t="s">
        <v>100</v>
      </c>
      <c r="O51" s="56">
        <v>913717</v>
      </c>
      <c r="P51" s="56">
        <v>619391</v>
      </c>
      <c r="Q51" s="68">
        <f t="shared" si="7"/>
        <v>0.55204741730754703</v>
      </c>
      <c r="R51" s="69">
        <f t="shared" si="10"/>
        <v>0.67788056914777772</v>
      </c>
      <c r="S51" s="56">
        <v>0</v>
      </c>
      <c r="T51" s="56">
        <f t="shared" si="11"/>
        <v>35</v>
      </c>
      <c r="U51" s="56">
        <v>913717</v>
      </c>
      <c r="V51" s="70" t="s">
        <v>124</v>
      </c>
      <c r="W51" s="56" t="b">
        <v>0</v>
      </c>
      <c r="X51" s="71">
        <f t="shared" si="12"/>
        <v>0.67788056914777772</v>
      </c>
      <c r="Y51" s="71">
        <f t="shared" si="13"/>
        <v>0.55204741730754703</v>
      </c>
      <c r="Z51" s="61">
        <f t="shared" si="14"/>
        <v>35</v>
      </c>
      <c r="AA51" s="58">
        <v>0</v>
      </c>
      <c r="AB51" s="61" t="str">
        <f t="shared" si="8"/>
        <v>No</v>
      </c>
      <c r="AG51" s="56" t="b">
        <v>1</v>
      </c>
    </row>
    <row r="52" spans="1:33" x14ac:dyDescent="0.3">
      <c r="A52" s="3">
        <v>1872</v>
      </c>
      <c r="B52" s="67">
        <v>9807</v>
      </c>
      <c r="C52" s="52">
        <v>0.105</v>
      </c>
      <c r="D52" s="56" t="s">
        <v>76</v>
      </c>
      <c r="E52" s="52">
        <f t="shared" si="6"/>
        <v>6.9999999999999993E-2</v>
      </c>
      <c r="F52" s="56">
        <f t="shared" si="9"/>
        <v>146</v>
      </c>
      <c r="G52" s="56">
        <v>6198.76</v>
      </c>
      <c r="H52" s="56">
        <v>509442.97</v>
      </c>
      <c r="I52" s="56">
        <v>180</v>
      </c>
      <c r="J52" s="58">
        <v>43344</v>
      </c>
      <c r="K52" s="58">
        <v>43466</v>
      </c>
      <c r="L52" s="56">
        <v>538396</v>
      </c>
      <c r="M52" s="66" t="s">
        <v>53</v>
      </c>
      <c r="N52" s="66" t="s">
        <v>97</v>
      </c>
      <c r="O52" s="56">
        <v>973821</v>
      </c>
      <c r="P52" s="56">
        <v>632182</v>
      </c>
      <c r="Q52" s="68">
        <f t="shared" si="7"/>
        <v>0.52313820507054165</v>
      </c>
      <c r="R52" s="69">
        <f t="shared" si="10"/>
        <v>0.64917679943233919</v>
      </c>
      <c r="S52" s="56">
        <v>0</v>
      </c>
      <c r="T52" s="56">
        <f t="shared" si="11"/>
        <v>34</v>
      </c>
      <c r="U52" s="56">
        <v>973821</v>
      </c>
      <c r="V52" s="70" t="s">
        <v>124</v>
      </c>
      <c r="W52" s="56" t="b">
        <v>0</v>
      </c>
      <c r="X52" s="71">
        <f t="shared" si="12"/>
        <v>0.64917679943233919</v>
      </c>
      <c r="Y52" s="71">
        <f t="shared" si="13"/>
        <v>0.52313820507054165</v>
      </c>
      <c r="Z52" s="61">
        <f t="shared" si="14"/>
        <v>34</v>
      </c>
      <c r="AA52" s="58">
        <v>0</v>
      </c>
      <c r="AB52" s="61" t="str">
        <f t="shared" si="8"/>
        <v>No</v>
      </c>
      <c r="AG52" s="56" t="b">
        <v>1</v>
      </c>
    </row>
    <row r="53" spans="1:33" x14ac:dyDescent="0.3">
      <c r="A53" s="3">
        <v>1876</v>
      </c>
      <c r="B53" s="67">
        <v>9929</v>
      </c>
      <c r="C53" s="52">
        <v>0.1</v>
      </c>
      <c r="D53" s="56" t="s">
        <v>76</v>
      </c>
      <c r="E53" s="52">
        <f t="shared" si="6"/>
        <v>6.5000000000000002E-2</v>
      </c>
      <c r="F53" s="56">
        <f t="shared" si="9"/>
        <v>156</v>
      </c>
      <c r="G53" s="56">
        <v>135022.16</v>
      </c>
      <c r="H53" s="56">
        <v>11363207.73</v>
      </c>
      <c r="I53" s="56">
        <v>180</v>
      </c>
      <c r="J53" s="58">
        <v>43374</v>
      </c>
      <c r="K53" s="58">
        <v>43770</v>
      </c>
      <c r="L53" s="56">
        <v>10971825.5</v>
      </c>
      <c r="M53" s="66" t="s">
        <v>56</v>
      </c>
      <c r="N53" s="66" t="s">
        <v>101</v>
      </c>
      <c r="O53" s="56">
        <v>16479309</v>
      </c>
      <c r="P53" s="56">
        <v>9613633</v>
      </c>
      <c r="Q53" s="68">
        <f t="shared" si="7"/>
        <v>0.66277851470334692</v>
      </c>
      <c r="R53" s="69">
        <f t="shared" si="10"/>
        <v>0.58337597771848326</v>
      </c>
      <c r="S53" s="56">
        <v>0</v>
      </c>
      <c r="T53" s="56">
        <f t="shared" si="11"/>
        <v>24</v>
      </c>
      <c r="U53" s="56">
        <v>17144804</v>
      </c>
      <c r="V53" s="70" t="s">
        <v>124</v>
      </c>
      <c r="W53" s="56" t="b">
        <v>0</v>
      </c>
      <c r="X53" s="71">
        <f t="shared" si="12"/>
        <v>0.58337597771848326</v>
      </c>
      <c r="Y53" s="71">
        <f t="shared" si="13"/>
        <v>0.66277851470334692</v>
      </c>
      <c r="Z53" s="61">
        <f t="shared" si="14"/>
        <v>24</v>
      </c>
      <c r="AA53" s="58">
        <v>44074</v>
      </c>
      <c r="AB53" s="61" t="str">
        <f t="shared" si="8"/>
        <v>No</v>
      </c>
      <c r="AG53" s="56" t="b">
        <v>1</v>
      </c>
    </row>
    <row r="54" spans="1:33" x14ac:dyDescent="0.3">
      <c r="A54" s="3">
        <v>1883</v>
      </c>
      <c r="B54" s="67">
        <v>9925</v>
      </c>
      <c r="C54" s="52">
        <v>0.105</v>
      </c>
      <c r="D54" s="56" t="s">
        <v>76</v>
      </c>
      <c r="E54" s="52">
        <f t="shared" si="6"/>
        <v>6.9999999999999993E-2</v>
      </c>
      <c r="F54" s="56">
        <f t="shared" si="9"/>
        <v>150</v>
      </c>
      <c r="G54" s="56">
        <v>16076.5</v>
      </c>
      <c r="H54" s="56">
        <v>1292001.42</v>
      </c>
      <c r="I54" s="56">
        <v>180</v>
      </c>
      <c r="J54" s="58">
        <v>43405</v>
      </c>
      <c r="K54" s="58">
        <v>43586</v>
      </c>
      <c r="L54" s="56">
        <v>1367967</v>
      </c>
      <c r="M54" s="66" t="s">
        <v>53</v>
      </c>
      <c r="N54" s="66" t="s">
        <v>102</v>
      </c>
      <c r="O54" s="56">
        <v>2620570</v>
      </c>
      <c r="P54" s="56">
        <v>1472423</v>
      </c>
      <c r="Q54" s="68">
        <f t="shared" si="7"/>
        <v>0.4930230522367271</v>
      </c>
      <c r="R54" s="69">
        <f t="shared" si="10"/>
        <v>0.56187127228045808</v>
      </c>
      <c r="S54" s="56">
        <v>0</v>
      </c>
      <c r="T54" s="56">
        <f t="shared" si="11"/>
        <v>30</v>
      </c>
      <c r="U54" s="56">
        <v>2620570</v>
      </c>
      <c r="V54" s="70" t="s">
        <v>124</v>
      </c>
      <c r="W54" s="56" t="b">
        <v>0</v>
      </c>
      <c r="X54" s="71">
        <f t="shared" si="12"/>
        <v>0.56187127228045808</v>
      </c>
      <c r="Y54" s="71">
        <f t="shared" si="13"/>
        <v>0.4930230522367271</v>
      </c>
      <c r="Z54" s="61">
        <f t="shared" si="14"/>
        <v>30</v>
      </c>
      <c r="AA54" s="58">
        <v>0</v>
      </c>
      <c r="AB54" s="61" t="str">
        <f t="shared" si="8"/>
        <v>No</v>
      </c>
      <c r="AG54" s="56" t="b">
        <v>1</v>
      </c>
    </row>
    <row r="55" spans="1:33" x14ac:dyDescent="0.3">
      <c r="A55" s="72">
        <v>1995</v>
      </c>
      <c r="B55" s="67">
        <v>10211</v>
      </c>
      <c r="C55" s="52">
        <v>0.125</v>
      </c>
      <c r="D55" s="56" t="s">
        <v>76</v>
      </c>
      <c r="E55" s="52">
        <f t="shared" si="6"/>
        <v>0.09</v>
      </c>
      <c r="F55" s="56">
        <f t="shared" si="9"/>
        <v>162</v>
      </c>
      <c r="G55" s="56">
        <v>43940.19</v>
      </c>
      <c r="H55" s="56">
        <v>3396097.52</v>
      </c>
      <c r="I55" s="56">
        <v>180</v>
      </c>
      <c r="J55" s="58">
        <v>43709</v>
      </c>
      <c r="K55" s="58">
        <v>43952</v>
      </c>
      <c r="L55" s="56">
        <v>3435829</v>
      </c>
      <c r="M55" s="66" t="s">
        <v>54</v>
      </c>
      <c r="N55" s="66" t="s">
        <v>54</v>
      </c>
      <c r="O55" s="56">
        <v>7827907</v>
      </c>
      <c r="P55" s="56">
        <v>3676288</v>
      </c>
      <c r="Q55" s="68">
        <f t="shared" si="7"/>
        <v>0.43384489877051424</v>
      </c>
      <c r="R55" s="69">
        <f t="shared" si="10"/>
        <v>0.4696386914152148</v>
      </c>
      <c r="S55" s="56">
        <v>0</v>
      </c>
      <c r="T55" s="56">
        <f t="shared" si="11"/>
        <v>18</v>
      </c>
      <c r="U55" s="56">
        <v>7827907</v>
      </c>
      <c r="V55" s="70" t="s">
        <v>124</v>
      </c>
      <c r="W55" s="56" t="b">
        <v>0</v>
      </c>
      <c r="X55" s="71">
        <f t="shared" si="12"/>
        <v>0.4696386914152148</v>
      </c>
      <c r="Y55" s="71">
        <f t="shared" si="13"/>
        <v>0.43384489877051424</v>
      </c>
      <c r="Z55" s="61">
        <f t="shared" si="14"/>
        <v>18</v>
      </c>
      <c r="AA55" s="58">
        <v>44135</v>
      </c>
      <c r="AB55" s="61" t="str">
        <f t="shared" si="8"/>
        <v>No</v>
      </c>
      <c r="AG55" s="56" t="b">
        <v>1</v>
      </c>
    </row>
    <row r="56" spans="1:33" x14ac:dyDescent="0.3">
      <c r="A56" s="3">
        <v>1888</v>
      </c>
      <c r="B56" s="67">
        <v>9610</v>
      </c>
      <c r="C56" s="52">
        <v>0.115</v>
      </c>
      <c r="D56" s="56" t="s">
        <v>76</v>
      </c>
      <c r="E56" s="52">
        <f t="shared" si="6"/>
        <v>0.08</v>
      </c>
      <c r="F56" s="56">
        <f t="shared" si="9"/>
        <v>147</v>
      </c>
      <c r="G56" s="56">
        <v>37292.269999999997</v>
      </c>
      <c r="H56" s="56">
        <v>2934553.35</v>
      </c>
      <c r="I56" s="56">
        <v>180</v>
      </c>
      <c r="J56" s="58">
        <v>43405</v>
      </c>
      <c r="K56" s="58">
        <v>43497</v>
      </c>
      <c r="L56" s="56">
        <v>3022428.8</v>
      </c>
      <c r="M56" s="66" t="s">
        <v>70</v>
      </c>
      <c r="N56" s="66" t="s">
        <v>103</v>
      </c>
      <c r="O56" s="56">
        <v>4175111</v>
      </c>
      <c r="P56" s="56">
        <v>2759121</v>
      </c>
      <c r="Q56" s="68">
        <f t="shared" si="7"/>
        <v>0.61900156830567088</v>
      </c>
      <c r="R56" s="69">
        <f t="shared" si="10"/>
        <v>0.66084973549206238</v>
      </c>
      <c r="S56" s="56">
        <v>0</v>
      </c>
      <c r="T56" s="56">
        <f t="shared" si="11"/>
        <v>33</v>
      </c>
      <c r="U56" s="56">
        <v>4740785</v>
      </c>
      <c r="V56" s="70" t="s">
        <v>124</v>
      </c>
      <c r="W56" s="56" t="b">
        <v>0</v>
      </c>
      <c r="X56" s="71">
        <f t="shared" si="12"/>
        <v>0.66084973549206238</v>
      </c>
      <c r="Y56" s="71">
        <f t="shared" si="13"/>
        <v>0.61900156830567088</v>
      </c>
      <c r="Z56" s="61">
        <f t="shared" si="14"/>
        <v>33</v>
      </c>
      <c r="AA56" s="58">
        <v>0</v>
      </c>
      <c r="AB56" s="61" t="str">
        <f t="shared" si="8"/>
        <v>No</v>
      </c>
      <c r="AG56" s="56" t="b">
        <v>1</v>
      </c>
    </row>
    <row r="57" spans="1:33" x14ac:dyDescent="0.3">
      <c r="A57" s="3">
        <v>1898</v>
      </c>
      <c r="B57" s="67">
        <v>9929</v>
      </c>
      <c r="C57" s="52">
        <v>0.1</v>
      </c>
      <c r="D57" s="56" t="s">
        <v>76</v>
      </c>
      <c r="E57" s="52">
        <f t="shared" si="6"/>
        <v>6.5000000000000002E-2</v>
      </c>
      <c r="F57" s="56">
        <f t="shared" si="9"/>
        <v>149</v>
      </c>
      <c r="G57" s="56">
        <v>76407.990000000005</v>
      </c>
      <c r="H57" s="56">
        <v>6476314.7999999998</v>
      </c>
      <c r="I57" s="56">
        <v>180</v>
      </c>
      <c r="J57" s="58">
        <v>43435</v>
      </c>
      <c r="K57" s="58">
        <v>43556</v>
      </c>
      <c r="L57" s="56">
        <v>6613050</v>
      </c>
      <c r="M57" s="66" t="s">
        <v>53</v>
      </c>
      <c r="N57" s="66" t="s">
        <v>56</v>
      </c>
      <c r="O57" s="56">
        <v>10808627</v>
      </c>
      <c r="P57" s="56">
        <v>6232774</v>
      </c>
      <c r="Q57" s="68">
        <f t="shared" si="7"/>
        <v>0.59918015488923804</v>
      </c>
      <c r="R57" s="69">
        <f t="shared" si="10"/>
        <v>0.57664807935364959</v>
      </c>
      <c r="S57" s="56">
        <v>0</v>
      </c>
      <c r="T57" s="56">
        <f t="shared" si="11"/>
        <v>31</v>
      </c>
      <c r="U57" s="56">
        <v>10808627</v>
      </c>
      <c r="V57" s="70" t="s">
        <v>124</v>
      </c>
      <c r="W57" s="56" t="b">
        <v>0</v>
      </c>
      <c r="X57" s="71">
        <f t="shared" si="12"/>
        <v>0.57664807935364959</v>
      </c>
      <c r="Y57" s="71">
        <f t="shared" si="13"/>
        <v>0.59918015488923804</v>
      </c>
      <c r="Z57" s="61">
        <f t="shared" si="14"/>
        <v>31</v>
      </c>
      <c r="AA57" s="58">
        <v>44074</v>
      </c>
      <c r="AB57" s="61" t="str">
        <f t="shared" si="8"/>
        <v>No</v>
      </c>
      <c r="AG57" s="56" t="b">
        <v>1</v>
      </c>
    </row>
    <row r="58" spans="1:33" x14ac:dyDescent="0.3">
      <c r="A58" s="3">
        <v>1919</v>
      </c>
      <c r="B58" s="67">
        <v>9693</v>
      </c>
      <c r="C58" s="52">
        <v>0.105</v>
      </c>
      <c r="D58" s="56" t="s">
        <v>76</v>
      </c>
      <c r="E58" s="52">
        <f t="shared" si="6"/>
        <v>6.9999999999999993E-2</v>
      </c>
      <c r="F58" s="56">
        <f t="shared" si="9"/>
        <v>149</v>
      </c>
      <c r="G58" s="56">
        <v>13308.59</v>
      </c>
      <c r="H58" s="56">
        <v>1108696.08</v>
      </c>
      <c r="I58" s="56">
        <v>180</v>
      </c>
      <c r="J58" s="58">
        <v>43466</v>
      </c>
      <c r="K58" s="58">
        <v>43556</v>
      </c>
      <c r="L58" s="56">
        <v>1139919</v>
      </c>
      <c r="M58" s="66" t="s">
        <v>53</v>
      </c>
      <c r="N58" s="66" t="s">
        <v>60</v>
      </c>
      <c r="O58" s="56">
        <v>1561793</v>
      </c>
      <c r="P58" s="56">
        <v>1139919</v>
      </c>
      <c r="Q58" s="68">
        <f t="shared" si="7"/>
        <v>0.70988670073434834</v>
      </c>
      <c r="R58" s="69">
        <f t="shared" si="10"/>
        <v>0.72987841538539355</v>
      </c>
      <c r="S58" s="56">
        <v>0</v>
      </c>
      <c r="T58" s="56">
        <f t="shared" si="11"/>
        <v>31</v>
      </c>
      <c r="U58" s="56">
        <v>1561793</v>
      </c>
      <c r="V58" s="70" t="s">
        <v>124</v>
      </c>
      <c r="W58" s="56" t="b">
        <v>0</v>
      </c>
      <c r="X58" s="71">
        <f t="shared" si="12"/>
        <v>0.72987841538539355</v>
      </c>
      <c r="Y58" s="71">
        <f t="shared" si="13"/>
        <v>0.70988670073434834</v>
      </c>
      <c r="Z58" s="61">
        <f t="shared" si="14"/>
        <v>31</v>
      </c>
      <c r="AA58" s="58">
        <v>0</v>
      </c>
      <c r="AB58" s="61" t="str">
        <f t="shared" si="8"/>
        <v>No</v>
      </c>
      <c r="AG58" s="56" t="b">
        <v>1</v>
      </c>
    </row>
    <row r="59" spans="1:33" x14ac:dyDescent="0.3">
      <c r="A59" s="3">
        <v>1923</v>
      </c>
      <c r="B59" s="67">
        <v>8442</v>
      </c>
      <c r="C59" s="52">
        <v>0.105</v>
      </c>
      <c r="D59" s="56" t="s">
        <v>76</v>
      </c>
      <c r="E59" s="52">
        <f t="shared" si="6"/>
        <v>6.9999999999999993E-2</v>
      </c>
      <c r="F59" s="56">
        <f t="shared" si="9"/>
        <v>149</v>
      </c>
      <c r="G59" s="56">
        <v>57136.66</v>
      </c>
      <c r="H59" s="56">
        <v>4758893.41</v>
      </c>
      <c r="I59" s="56">
        <v>180</v>
      </c>
      <c r="J59" s="58">
        <v>43497</v>
      </c>
      <c r="K59" s="58">
        <v>43556</v>
      </c>
      <c r="L59" s="56">
        <v>5141125</v>
      </c>
      <c r="M59" s="66" t="s">
        <v>53</v>
      </c>
      <c r="N59" s="66" t="s">
        <v>104</v>
      </c>
      <c r="O59" s="56">
        <v>9784171.3499999996</v>
      </c>
      <c r="P59" s="56">
        <v>5117793</v>
      </c>
      <c r="Q59" s="68">
        <f t="shared" si="7"/>
        <v>0.48638696520784053</v>
      </c>
      <c r="R59" s="69">
        <f t="shared" si="10"/>
        <v>0.52306861939820792</v>
      </c>
      <c r="S59" s="56">
        <v>0</v>
      </c>
      <c r="T59" s="56">
        <f t="shared" si="11"/>
        <v>31</v>
      </c>
      <c r="U59" s="56">
        <v>9784171.3499999996</v>
      </c>
      <c r="V59" s="70" t="s">
        <v>124</v>
      </c>
      <c r="W59" s="56" t="b">
        <v>0</v>
      </c>
      <c r="X59" s="71">
        <f t="shared" si="12"/>
        <v>0.52306861939820792</v>
      </c>
      <c r="Y59" s="71">
        <f t="shared" si="13"/>
        <v>0.48638696520784053</v>
      </c>
      <c r="Z59" s="61">
        <f t="shared" si="14"/>
        <v>31</v>
      </c>
      <c r="AA59" s="58">
        <v>0</v>
      </c>
      <c r="AB59" s="61" t="str">
        <f t="shared" si="8"/>
        <v>No</v>
      </c>
      <c r="AG59" s="56" t="b">
        <v>1</v>
      </c>
    </row>
    <row r="60" spans="1:33" x14ac:dyDescent="0.3">
      <c r="A60" s="3">
        <v>1928</v>
      </c>
      <c r="B60" s="67">
        <v>9833</v>
      </c>
      <c r="C60" s="52">
        <v>0.105</v>
      </c>
      <c r="D60" s="56" t="s">
        <v>76</v>
      </c>
      <c r="E60" s="52">
        <f t="shared" si="6"/>
        <v>6.9999999999999993E-2</v>
      </c>
      <c r="F60" s="56">
        <f t="shared" si="9"/>
        <v>150</v>
      </c>
      <c r="G60" s="56">
        <v>15254.63</v>
      </c>
      <c r="H60" s="56">
        <v>1275078.52</v>
      </c>
      <c r="I60" s="56">
        <v>180</v>
      </c>
      <c r="J60" s="58">
        <v>43497</v>
      </c>
      <c r="K60" s="58">
        <v>43586</v>
      </c>
      <c r="L60" s="56">
        <v>1359150</v>
      </c>
      <c r="M60" s="66" t="s">
        <v>53</v>
      </c>
      <c r="N60" s="66" t="s">
        <v>53</v>
      </c>
      <c r="O60" s="56">
        <v>2471538</v>
      </c>
      <c r="P60" s="56">
        <v>1359150</v>
      </c>
      <c r="Q60" s="68">
        <f t="shared" si="7"/>
        <v>0.51590488189944883</v>
      </c>
      <c r="R60" s="69">
        <f t="shared" si="10"/>
        <v>0.54992073761358307</v>
      </c>
      <c r="S60" s="56">
        <v>0</v>
      </c>
      <c r="T60" s="56">
        <f t="shared" si="11"/>
        <v>30</v>
      </c>
      <c r="U60" s="56">
        <v>2471538</v>
      </c>
      <c r="V60" s="70" t="s">
        <v>124</v>
      </c>
      <c r="W60" s="56" t="b">
        <v>0</v>
      </c>
      <c r="X60" s="71">
        <f t="shared" si="12"/>
        <v>0.54992073761358307</v>
      </c>
      <c r="Y60" s="71">
        <f t="shared" si="13"/>
        <v>0.51590488189944883</v>
      </c>
      <c r="Z60" s="61">
        <f t="shared" si="14"/>
        <v>30</v>
      </c>
      <c r="AA60" s="58">
        <v>0</v>
      </c>
      <c r="AB60" s="61" t="str">
        <f t="shared" si="8"/>
        <v>No</v>
      </c>
      <c r="AG60" s="56" t="b">
        <v>1</v>
      </c>
    </row>
    <row r="61" spans="1:33" x14ac:dyDescent="0.3">
      <c r="A61" s="3">
        <v>1932</v>
      </c>
      <c r="B61" s="67">
        <v>10066</v>
      </c>
      <c r="C61" s="52">
        <v>0.115</v>
      </c>
      <c r="D61" s="56" t="s">
        <v>76</v>
      </c>
      <c r="E61" s="52">
        <f t="shared" si="6"/>
        <v>0.08</v>
      </c>
      <c r="F61" s="56">
        <f t="shared" si="9"/>
        <v>157</v>
      </c>
      <c r="G61" s="56">
        <v>13158.77</v>
      </c>
      <c r="H61" s="56">
        <v>1048440.3</v>
      </c>
      <c r="I61" s="56">
        <v>180</v>
      </c>
      <c r="J61" s="58">
        <v>43525</v>
      </c>
      <c r="K61" s="58">
        <v>43800</v>
      </c>
      <c r="L61" s="56">
        <v>1153001</v>
      </c>
      <c r="M61" s="66" t="s">
        <v>53</v>
      </c>
      <c r="N61" s="66" t="s">
        <v>105</v>
      </c>
      <c r="O61" s="56">
        <v>2118579</v>
      </c>
      <c r="P61" s="56">
        <v>1285001</v>
      </c>
      <c r="Q61" s="68">
        <f t="shared" si="7"/>
        <v>0.49487902032447223</v>
      </c>
      <c r="R61" s="69">
        <f t="shared" si="10"/>
        <v>0.60653910002884004</v>
      </c>
      <c r="S61" s="56">
        <v>0</v>
      </c>
      <c r="T61" s="56">
        <f t="shared" si="11"/>
        <v>23</v>
      </c>
      <c r="U61" s="56">
        <v>2118579</v>
      </c>
      <c r="V61" s="70" t="s">
        <v>124</v>
      </c>
      <c r="W61" s="56" t="b">
        <v>0</v>
      </c>
      <c r="X61" s="71">
        <f t="shared" si="12"/>
        <v>0.60653910002884004</v>
      </c>
      <c r="Y61" s="71">
        <f t="shared" si="13"/>
        <v>0.49487902032447223</v>
      </c>
      <c r="Z61" s="61">
        <f t="shared" si="14"/>
        <v>23</v>
      </c>
      <c r="AA61" s="58">
        <v>44135</v>
      </c>
      <c r="AB61" s="61" t="str">
        <f t="shared" si="8"/>
        <v>No</v>
      </c>
      <c r="AG61" s="56" t="b">
        <v>1</v>
      </c>
    </row>
    <row r="62" spans="1:33" x14ac:dyDescent="0.3">
      <c r="A62" s="3">
        <v>1933</v>
      </c>
      <c r="B62" s="67">
        <v>10037</v>
      </c>
      <c r="C62" s="52">
        <v>0.105</v>
      </c>
      <c r="D62" s="56" t="s">
        <v>98</v>
      </c>
      <c r="E62" s="52">
        <f t="shared" si="6"/>
        <v>6.8250000000000005E-2</v>
      </c>
      <c r="F62" s="56">
        <f t="shared" si="9"/>
        <v>167</v>
      </c>
      <c r="G62" s="56">
        <v>76822.740000000005</v>
      </c>
      <c r="H62" s="56">
        <v>6420792.21</v>
      </c>
      <c r="I62" s="56">
        <v>180</v>
      </c>
      <c r="J62" s="58">
        <v>43525</v>
      </c>
      <c r="K62" s="58">
        <v>44105</v>
      </c>
      <c r="L62" s="56">
        <v>4967545.6499999994</v>
      </c>
      <c r="M62" s="66" t="s">
        <v>67</v>
      </c>
      <c r="N62" s="66" t="s">
        <v>106</v>
      </c>
      <c r="O62" s="56">
        <v>10073572</v>
      </c>
      <c r="P62" s="56">
        <v>5452592</v>
      </c>
      <c r="Q62" s="68">
        <f t="shared" si="7"/>
        <v>0.65176232348759044</v>
      </c>
      <c r="R62" s="69">
        <f t="shared" si="10"/>
        <v>0.54127691746284234</v>
      </c>
      <c r="S62" s="56">
        <v>0</v>
      </c>
      <c r="T62" s="56">
        <f t="shared" si="11"/>
        <v>13</v>
      </c>
      <c r="U62" s="56">
        <v>9851432</v>
      </c>
      <c r="V62" s="70" t="s">
        <v>124</v>
      </c>
      <c r="W62" s="56" t="b">
        <v>0</v>
      </c>
      <c r="X62" s="71">
        <f t="shared" si="12"/>
        <v>0.54127691746284234</v>
      </c>
      <c r="Y62" s="71">
        <f t="shared" si="13"/>
        <v>0.65176232348759044</v>
      </c>
      <c r="Z62" s="61">
        <f t="shared" si="14"/>
        <v>13</v>
      </c>
      <c r="AA62" s="58">
        <v>0</v>
      </c>
      <c r="AB62" s="61" t="str">
        <f t="shared" si="8"/>
        <v>No</v>
      </c>
      <c r="AG62" s="56" t="b">
        <v>1</v>
      </c>
    </row>
    <row r="63" spans="1:33" x14ac:dyDescent="0.3">
      <c r="A63" s="3">
        <v>1935</v>
      </c>
      <c r="B63" s="67">
        <v>10093</v>
      </c>
      <c r="C63" s="52">
        <v>0.106</v>
      </c>
      <c r="D63" s="56" t="s">
        <v>76</v>
      </c>
      <c r="E63" s="52">
        <f t="shared" si="6"/>
        <v>7.0999999999999994E-2</v>
      </c>
      <c r="F63" s="56">
        <f t="shared" si="9"/>
        <v>150</v>
      </c>
      <c r="G63" s="56">
        <v>20466.84</v>
      </c>
      <c r="H63" s="56">
        <v>1702333.8</v>
      </c>
      <c r="I63" s="56">
        <v>180</v>
      </c>
      <c r="J63" s="58">
        <v>43525</v>
      </c>
      <c r="K63" s="58">
        <v>43586</v>
      </c>
      <c r="L63" s="56">
        <v>1779312.5</v>
      </c>
      <c r="M63" s="66" t="s">
        <v>71</v>
      </c>
      <c r="N63" s="66" t="s">
        <v>107</v>
      </c>
      <c r="O63" s="56">
        <v>2857172</v>
      </c>
      <c r="P63" s="56">
        <v>2234441</v>
      </c>
      <c r="Q63" s="68">
        <f t="shared" si="7"/>
        <v>0.59581075273032214</v>
      </c>
      <c r="R63" s="69">
        <f t="shared" si="10"/>
        <v>0.7820463731269941</v>
      </c>
      <c r="S63" s="56">
        <v>0</v>
      </c>
      <c r="T63" s="56">
        <f t="shared" si="11"/>
        <v>30</v>
      </c>
      <c r="U63" s="56">
        <v>2857172</v>
      </c>
      <c r="V63" s="70" t="s">
        <v>124</v>
      </c>
      <c r="W63" s="56" t="b">
        <v>0</v>
      </c>
      <c r="X63" s="71">
        <f t="shared" si="12"/>
        <v>0.7820463731269941</v>
      </c>
      <c r="Y63" s="71">
        <f t="shared" si="13"/>
        <v>0.59581075273032214</v>
      </c>
      <c r="Z63" s="61">
        <f t="shared" si="14"/>
        <v>30</v>
      </c>
      <c r="AA63" s="58">
        <v>43921</v>
      </c>
      <c r="AB63" s="61" t="str">
        <f t="shared" si="8"/>
        <v>No</v>
      </c>
      <c r="AG63" s="56" t="b">
        <v>1</v>
      </c>
    </row>
    <row r="64" spans="1:33" x14ac:dyDescent="0.3">
      <c r="A64" s="3">
        <v>1940</v>
      </c>
      <c r="B64" s="67">
        <v>9274</v>
      </c>
      <c r="C64" s="52">
        <v>0.105</v>
      </c>
      <c r="D64" s="56" t="s">
        <v>98</v>
      </c>
      <c r="E64" s="52">
        <f t="shared" si="6"/>
        <v>6.8250000000000005E-2</v>
      </c>
      <c r="F64" s="56">
        <f t="shared" si="9"/>
        <v>166</v>
      </c>
      <c r="G64" s="56">
        <v>40961.339999999997</v>
      </c>
      <c r="H64" s="56">
        <v>3434671.15</v>
      </c>
      <c r="I64" s="56">
        <v>180</v>
      </c>
      <c r="J64" s="58">
        <v>43556</v>
      </c>
      <c r="K64" s="58">
        <v>44075</v>
      </c>
      <c r="L64" s="56">
        <v>3289719</v>
      </c>
      <c r="M64" s="66" t="s">
        <v>67</v>
      </c>
      <c r="N64" s="66" t="s">
        <v>77</v>
      </c>
      <c r="O64" s="56">
        <v>5858173</v>
      </c>
      <c r="P64" s="56">
        <v>3289719</v>
      </c>
      <c r="Q64" s="68">
        <f t="shared" si="7"/>
        <v>0.67850757304729636</v>
      </c>
      <c r="R64" s="69">
        <f t="shared" si="10"/>
        <v>0.56156057528516146</v>
      </c>
      <c r="S64" s="56">
        <v>0</v>
      </c>
      <c r="T64" s="56">
        <f t="shared" si="11"/>
        <v>14</v>
      </c>
      <c r="U64" s="56">
        <v>5062097</v>
      </c>
      <c r="V64" s="70" t="s">
        <v>124</v>
      </c>
      <c r="W64" s="56" t="b">
        <v>0</v>
      </c>
      <c r="X64" s="71">
        <f t="shared" si="12"/>
        <v>0.56156057528516146</v>
      </c>
      <c r="Y64" s="71">
        <f t="shared" si="13"/>
        <v>0.67850757304729636</v>
      </c>
      <c r="Z64" s="61">
        <f t="shared" si="14"/>
        <v>14</v>
      </c>
      <c r="AA64" s="58">
        <v>0</v>
      </c>
      <c r="AB64" s="61" t="str">
        <f t="shared" si="8"/>
        <v>No</v>
      </c>
      <c r="AG64" s="56" t="b">
        <v>1</v>
      </c>
    </row>
    <row r="65" spans="1:33" x14ac:dyDescent="0.3">
      <c r="A65" s="3">
        <v>1946</v>
      </c>
      <c r="B65" s="67">
        <v>9807</v>
      </c>
      <c r="C65" s="52">
        <v>0.11</v>
      </c>
      <c r="D65" s="56" t="s">
        <v>76</v>
      </c>
      <c r="E65" s="52">
        <f t="shared" si="6"/>
        <v>7.4999999999999997E-2</v>
      </c>
      <c r="F65" s="56">
        <f t="shared" si="9"/>
        <v>170</v>
      </c>
      <c r="G65" s="56">
        <v>29918.1</v>
      </c>
      <c r="H65" s="56">
        <v>2425563.13</v>
      </c>
      <c r="I65" s="56">
        <v>180</v>
      </c>
      <c r="J65" s="58">
        <v>43556</v>
      </c>
      <c r="K65" s="58">
        <v>44197</v>
      </c>
      <c r="L65" s="56">
        <v>2254908.6</v>
      </c>
      <c r="M65" s="66" t="s">
        <v>53</v>
      </c>
      <c r="N65" s="66" t="s">
        <v>77</v>
      </c>
      <c r="O65" s="56">
        <v>5838223</v>
      </c>
      <c r="P65" s="56">
        <v>3307810</v>
      </c>
      <c r="Q65" s="68">
        <f t="shared" si="7"/>
        <v>0.67737171812798369</v>
      </c>
      <c r="R65" s="69">
        <f t="shared" si="10"/>
        <v>0.56657822080451536</v>
      </c>
      <c r="S65" s="56">
        <v>0</v>
      </c>
      <c r="T65" s="56">
        <f t="shared" si="11"/>
        <v>10</v>
      </c>
      <c r="U65" s="56">
        <v>3580845</v>
      </c>
      <c r="V65" s="70" t="s">
        <v>124</v>
      </c>
      <c r="W65" s="56" t="b">
        <v>0</v>
      </c>
      <c r="X65" s="71">
        <f t="shared" si="12"/>
        <v>0.56657822080451536</v>
      </c>
      <c r="Y65" s="71">
        <f t="shared" si="13"/>
        <v>0.67737171812798369</v>
      </c>
      <c r="Z65" s="61">
        <f t="shared" si="14"/>
        <v>10</v>
      </c>
      <c r="AA65" s="58">
        <v>0</v>
      </c>
      <c r="AB65" s="61" t="str">
        <f t="shared" si="8"/>
        <v>No</v>
      </c>
      <c r="AG65" s="56" t="b">
        <v>1</v>
      </c>
    </row>
    <row r="66" spans="1:33" x14ac:dyDescent="0.3">
      <c r="A66" s="3">
        <v>1951</v>
      </c>
      <c r="B66" s="67">
        <v>8346</v>
      </c>
      <c r="C66" s="52">
        <v>0.11</v>
      </c>
      <c r="D66" s="56" t="s">
        <v>76</v>
      </c>
      <c r="E66" s="52">
        <f t="shared" si="6"/>
        <v>7.4999999999999997E-2</v>
      </c>
      <c r="F66" s="56">
        <f t="shared" si="9"/>
        <v>157</v>
      </c>
      <c r="G66" s="56">
        <v>129037.81</v>
      </c>
      <c r="H66" s="56">
        <v>10594236.140000001</v>
      </c>
      <c r="I66" s="56">
        <v>180</v>
      </c>
      <c r="J66" s="58">
        <v>43586</v>
      </c>
      <c r="K66" s="58">
        <v>43800</v>
      </c>
      <c r="L66" s="56">
        <v>10954667</v>
      </c>
      <c r="M66" s="66" t="s">
        <v>53</v>
      </c>
      <c r="N66" s="66" t="s">
        <v>80</v>
      </c>
      <c r="O66" s="56">
        <v>16667039</v>
      </c>
      <c r="P66" s="56">
        <v>11279508</v>
      </c>
      <c r="Q66" s="68">
        <f t="shared" si="7"/>
        <v>0.63563996820311042</v>
      </c>
      <c r="R66" s="69">
        <f t="shared" si="10"/>
        <v>0.67675536128522884</v>
      </c>
      <c r="S66" s="56">
        <v>0</v>
      </c>
      <c r="T66" s="56">
        <f t="shared" si="11"/>
        <v>23</v>
      </c>
      <c r="U66" s="56">
        <v>16667039</v>
      </c>
      <c r="V66" s="70" t="s">
        <v>124</v>
      </c>
      <c r="W66" s="56" t="b">
        <v>0</v>
      </c>
      <c r="X66" s="71">
        <f t="shared" si="12"/>
        <v>0.67675536128522884</v>
      </c>
      <c r="Y66" s="71">
        <f t="shared" si="13"/>
        <v>0.63563996820311042</v>
      </c>
      <c r="Z66" s="61">
        <f t="shared" si="14"/>
        <v>23</v>
      </c>
      <c r="AA66" s="58">
        <v>44104</v>
      </c>
      <c r="AB66" s="61" t="str">
        <f t="shared" si="8"/>
        <v>No</v>
      </c>
      <c r="AG66" s="56" t="b">
        <v>1</v>
      </c>
    </row>
    <row r="67" spans="1:33" x14ac:dyDescent="0.3">
      <c r="A67" s="3">
        <v>1952</v>
      </c>
      <c r="B67" s="67">
        <v>10143</v>
      </c>
      <c r="C67" s="52">
        <v>9.8000000000000004E-2</v>
      </c>
      <c r="D67" s="56" t="s">
        <v>76</v>
      </c>
      <c r="E67" s="52">
        <f t="shared" si="6"/>
        <v>6.3E-2</v>
      </c>
      <c r="F67" s="56">
        <f t="shared" ref="F67:F98" si="15">I67-T67</f>
        <v>152</v>
      </c>
      <c r="G67" s="56">
        <v>17751.98</v>
      </c>
      <c r="H67" s="56">
        <v>1545589.57</v>
      </c>
      <c r="I67" s="56">
        <v>180</v>
      </c>
      <c r="J67" s="58">
        <v>43586</v>
      </c>
      <c r="K67" s="58">
        <v>43647</v>
      </c>
      <c r="L67" s="56">
        <v>1664600</v>
      </c>
      <c r="M67" s="66" t="s">
        <v>71</v>
      </c>
      <c r="N67" s="66" t="s">
        <v>82</v>
      </c>
      <c r="O67" s="56">
        <v>2531447</v>
      </c>
      <c r="P67" s="56">
        <v>1664600</v>
      </c>
      <c r="Q67" s="68">
        <f t="shared" si="7"/>
        <v>0.61055576909174869</v>
      </c>
      <c r="R67" s="69">
        <f t="shared" ref="R67:R98" si="16">P67/O67</f>
        <v>0.65756857639128929</v>
      </c>
      <c r="S67" s="56">
        <v>0</v>
      </c>
      <c r="T67" s="56">
        <f t="shared" ref="T67:T98" si="17">+DATEDIF(EOMONTH($K67,-1),$Z$1+1,"M")</f>
        <v>28</v>
      </c>
      <c r="U67" s="56">
        <v>2531447</v>
      </c>
      <c r="V67" s="70" t="s">
        <v>124</v>
      </c>
      <c r="W67" s="56" t="b">
        <v>0</v>
      </c>
      <c r="X67" s="71">
        <f t="shared" ref="X67:X98" si="18">+P67/O67</f>
        <v>0.65756857639128929</v>
      </c>
      <c r="Y67" s="71">
        <f t="shared" ref="Y67:Y98" si="19">+H67/U67</f>
        <v>0.61055576909174869</v>
      </c>
      <c r="Z67" s="61">
        <f t="shared" ref="Z67:Z98" si="20">+DATEDIF(EOMONTH(K67,-1),$Z$1+1,"M")</f>
        <v>28</v>
      </c>
      <c r="AA67" s="58">
        <v>0</v>
      </c>
      <c r="AB67" s="61" t="str">
        <f t="shared" ref="AB67:AB130" si="21">IFERROR(IF(DATEDIF($Z$1+1,EOMONTH(AA67,-1),"M")&gt;0,"Yes","No"),"No")</f>
        <v>No</v>
      </c>
      <c r="AG67" s="56" t="b">
        <v>1</v>
      </c>
    </row>
    <row r="68" spans="1:33" x14ac:dyDescent="0.3">
      <c r="A68" s="3">
        <v>1954</v>
      </c>
      <c r="B68" s="67">
        <v>8209</v>
      </c>
      <c r="C68" s="52">
        <v>0.1</v>
      </c>
      <c r="D68" s="56" t="s">
        <v>76</v>
      </c>
      <c r="E68" s="52">
        <f t="shared" ref="E68:E131" si="22">C68-IF(D68="Prime",7%-3.5%,3.675%)</f>
        <v>6.5000000000000002E-2</v>
      </c>
      <c r="F68" s="56">
        <f t="shared" si="15"/>
        <v>151</v>
      </c>
      <c r="G68" s="56">
        <v>62481.48</v>
      </c>
      <c r="H68" s="56">
        <v>5387072.5300000003</v>
      </c>
      <c r="I68" s="56">
        <v>180</v>
      </c>
      <c r="J68" s="58">
        <v>43586</v>
      </c>
      <c r="K68" s="58">
        <v>43617</v>
      </c>
      <c r="L68" s="56">
        <v>5728005.2199999997</v>
      </c>
      <c r="M68" s="66" t="s">
        <v>53</v>
      </c>
      <c r="N68" s="66" t="s">
        <v>77</v>
      </c>
      <c r="O68" s="56">
        <v>9971701.4199999999</v>
      </c>
      <c r="P68" s="56">
        <v>5734856</v>
      </c>
      <c r="Q68" s="68">
        <f t="shared" ref="Q68:Q131" si="23">$H68/$U68</f>
        <v>0.54023604429182759</v>
      </c>
      <c r="R68" s="69">
        <f t="shared" si="16"/>
        <v>0.57511308837403996</v>
      </c>
      <c r="S68" s="56">
        <v>0</v>
      </c>
      <c r="T68" s="56">
        <f t="shared" si="17"/>
        <v>29</v>
      </c>
      <c r="U68" s="56">
        <v>9971701.4199999999</v>
      </c>
      <c r="V68" s="70" t="s">
        <v>124</v>
      </c>
      <c r="W68" s="56" t="b">
        <v>0</v>
      </c>
      <c r="X68" s="71">
        <f t="shared" si="18"/>
        <v>0.57511308837403996</v>
      </c>
      <c r="Y68" s="71">
        <f t="shared" si="19"/>
        <v>0.54023604429182759</v>
      </c>
      <c r="Z68" s="61">
        <f t="shared" si="20"/>
        <v>29</v>
      </c>
      <c r="AA68" s="58">
        <v>44104</v>
      </c>
      <c r="AB68" s="61" t="str">
        <f t="shared" si="21"/>
        <v>No</v>
      </c>
      <c r="AG68" s="56" t="b">
        <v>1</v>
      </c>
    </row>
    <row r="69" spans="1:33" x14ac:dyDescent="0.3">
      <c r="A69" s="3">
        <v>1965</v>
      </c>
      <c r="B69" s="67">
        <v>9746</v>
      </c>
      <c r="C69" s="52">
        <v>9.7500000000000003E-2</v>
      </c>
      <c r="D69" s="56" t="s">
        <v>76</v>
      </c>
      <c r="E69" s="52">
        <f t="shared" si="22"/>
        <v>6.25E-2</v>
      </c>
      <c r="F69" s="56">
        <f t="shared" si="15"/>
        <v>153</v>
      </c>
      <c r="G69" s="56">
        <v>47660.47</v>
      </c>
      <c r="H69" s="56">
        <v>4174426.84</v>
      </c>
      <c r="I69" s="56">
        <v>180</v>
      </c>
      <c r="J69" s="58">
        <v>43586</v>
      </c>
      <c r="K69" s="58">
        <v>43678</v>
      </c>
      <c r="L69" s="56">
        <v>4464947.8499999996</v>
      </c>
      <c r="M69" s="66" t="s">
        <v>67</v>
      </c>
      <c r="N69" s="66" t="s">
        <v>67</v>
      </c>
      <c r="O69" s="56">
        <v>7859686</v>
      </c>
      <c r="P69" s="56">
        <v>4464948</v>
      </c>
      <c r="Q69" s="68">
        <f t="shared" si="23"/>
        <v>0.53111878006322388</v>
      </c>
      <c r="R69" s="69">
        <f t="shared" si="16"/>
        <v>0.5680822363641499</v>
      </c>
      <c r="S69" s="56">
        <v>0</v>
      </c>
      <c r="T69" s="56">
        <f t="shared" si="17"/>
        <v>27</v>
      </c>
      <c r="U69" s="56">
        <v>7859686</v>
      </c>
      <c r="V69" s="70" t="s">
        <v>124</v>
      </c>
      <c r="W69" s="56" t="b">
        <v>0</v>
      </c>
      <c r="X69" s="71">
        <f t="shared" si="18"/>
        <v>0.5680822363641499</v>
      </c>
      <c r="Y69" s="71">
        <f t="shared" si="19"/>
        <v>0.53111878006322388</v>
      </c>
      <c r="Z69" s="61">
        <f t="shared" si="20"/>
        <v>27</v>
      </c>
      <c r="AA69" s="58">
        <v>0</v>
      </c>
      <c r="AB69" s="61" t="str">
        <f t="shared" si="21"/>
        <v>No</v>
      </c>
      <c r="AG69" s="56" t="b">
        <v>1</v>
      </c>
    </row>
    <row r="70" spans="1:33" x14ac:dyDescent="0.3">
      <c r="A70" s="3">
        <v>1967</v>
      </c>
      <c r="B70" s="67">
        <v>9541</v>
      </c>
      <c r="C70" s="52">
        <v>0.105</v>
      </c>
      <c r="D70" s="56" t="s">
        <v>76</v>
      </c>
      <c r="E70" s="52">
        <f t="shared" si="22"/>
        <v>6.9999999999999993E-2</v>
      </c>
      <c r="F70" s="56">
        <f t="shared" si="15"/>
        <v>160</v>
      </c>
      <c r="G70" s="56">
        <v>25161.97</v>
      </c>
      <c r="H70" s="56">
        <v>2126126.5699999998</v>
      </c>
      <c r="I70" s="56">
        <v>180</v>
      </c>
      <c r="J70" s="58">
        <v>43617</v>
      </c>
      <c r="K70" s="58">
        <v>43891</v>
      </c>
      <c r="L70" s="56">
        <v>2178465.8199999998</v>
      </c>
      <c r="M70" s="66" t="s">
        <v>75</v>
      </c>
      <c r="N70" s="66" t="s">
        <v>108</v>
      </c>
      <c r="O70" s="56">
        <v>3837340</v>
      </c>
      <c r="P70" s="56">
        <v>2262133</v>
      </c>
      <c r="Q70" s="68">
        <f t="shared" si="23"/>
        <v>0.5540625980496906</v>
      </c>
      <c r="R70" s="69">
        <f t="shared" si="16"/>
        <v>0.58950549078267755</v>
      </c>
      <c r="S70" s="56">
        <v>0</v>
      </c>
      <c r="T70" s="56">
        <f t="shared" si="17"/>
        <v>20</v>
      </c>
      <c r="U70" s="56">
        <v>3837340</v>
      </c>
      <c r="V70" s="70" t="s">
        <v>124</v>
      </c>
      <c r="W70" s="56" t="b">
        <v>0</v>
      </c>
      <c r="X70" s="71">
        <f t="shared" si="18"/>
        <v>0.58950549078267755</v>
      </c>
      <c r="Y70" s="71">
        <f t="shared" si="19"/>
        <v>0.5540625980496906</v>
      </c>
      <c r="Z70" s="61">
        <f t="shared" si="20"/>
        <v>20</v>
      </c>
      <c r="AA70" s="58">
        <v>0</v>
      </c>
      <c r="AB70" s="61" t="str">
        <f t="shared" si="21"/>
        <v>No</v>
      </c>
      <c r="AG70" s="56" t="b">
        <v>1</v>
      </c>
    </row>
    <row r="71" spans="1:33" x14ac:dyDescent="0.3">
      <c r="A71" s="3">
        <v>1972</v>
      </c>
      <c r="B71" s="67">
        <v>10232</v>
      </c>
      <c r="C71" s="52">
        <v>0.1</v>
      </c>
      <c r="D71" s="56" t="s">
        <v>76</v>
      </c>
      <c r="E71" s="52">
        <f t="shared" si="22"/>
        <v>6.5000000000000002E-2</v>
      </c>
      <c r="F71" s="56">
        <f t="shared" si="15"/>
        <v>154</v>
      </c>
      <c r="G71" s="56">
        <v>114001.1</v>
      </c>
      <c r="H71" s="56">
        <v>9893524.8399999999</v>
      </c>
      <c r="I71" s="56">
        <v>180</v>
      </c>
      <c r="J71" s="58">
        <v>43647</v>
      </c>
      <c r="K71" s="58">
        <v>43709</v>
      </c>
      <c r="L71" s="56">
        <v>9963000</v>
      </c>
      <c r="M71" s="66" t="s">
        <v>71</v>
      </c>
      <c r="N71" s="66" t="s">
        <v>81</v>
      </c>
      <c r="O71" s="56">
        <v>14000000</v>
      </c>
      <c r="P71" s="56">
        <v>9963000</v>
      </c>
      <c r="Q71" s="68">
        <f t="shared" si="23"/>
        <v>0.71692208985507244</v>
      </c>
      <c r="R71" s="69">
        <f t="shared" si="16"/>
        <v>0.71164285714285713</v>
      </c>
      <c r="S71" s="56">
        <v>0</v>
      </c>
      <c r="T71" s="56">
        <f t="shared" si="17"/>
        <v>26</v>
      </c>
      <c r="U71" s="56">
        <v>13800000</v>
      </c>
      <c r="V71" s="70" t="s">
        <v>124</v>
      </c>
      <c r="W71" s="56" t="b">
        <v>0</v>
      </c>
      <c r="X71" s="71">
        <f t="shared" si="18"/>
        <v>0.71164285714285713</v>
      </c>
      <c r="Y71" s="71">
        <f t="shared" si="19"/>
        <v>0.71692208985507244</v>
      </c>
      <c r="Z71" s="61">
        <f t="shared" si="20"/>
        <v>26</v>
      </c>
      <c r="AA71" s="58">
        <v>0</v>
      </c>
      <c r="AB71" s="61" t="str">
        <f t="shared" si="21"/>
        <v>No</v>
      </c>
      <c r="AG71" s="56" t="b">
        <v>1</v>
      </c>
    </row>
    <row r="72" spans="1:33" x14ac:dyDescent="0.3">
      <c r="A72" s="3">
        <v>1976</v>
      </c>
      <c r="B72" s="67">
        <v>9954</v>
      </c>
      <c r="C72" s="52">
        <v>0.11</v>
      </c>
      <c r="D72" s="56" t="s">
        <v>76</v>
      </c>
      <c r="E72" s="52">
        <f t="shared" si="22"/>
        <v>7.4999999999999997E-2</v>
      </c>
      <c r="F72" s="56">
        <f t="shared" si="15"/>
        <v>165</v>
      </c>
      <c r="G72" s="56">
        <v>348745.81</v>
      </c>
      <c r="H72" s="56">
        <v>28893187.510000002</v>
      </c>
      <c r="I72" s="56">
        <v>180</v>
      </c>
      <c r="J72" s="58">
        <v>43678</v>
      </c>
      <c r="K72" s="58">
        <v>44044</v>
      </c>
      <c r="L72" s="56">
        <v>29739963</v>
      </c>
      <c r="M72" s="66" t="s">
        <v>67</v>
      </c>
      <c r="N72" s="66" t="s">
        <v>77</v>
      </c>
      <c r="O72" s="56">
        <v>52981938</v>
      </c>
      <c r="P72" s="56">
        <v>31857045</v>
      </c>
      <c r="Q72" s="68">
        <f t="shared" si="23"/>
        <v>0.54534032918916631</v>
      </c>
      <c r="R72" s="69">
        <f t="shared" si="16"/>
        <v>0.6012812328609044</v>
      </c>
      <c r="S72" s="56">
        <v>0</v>
      </c>
      <c r="T72" s="56">
        <f t="shared" si="17"/>
        <v>15</v>
      </c>
      <c r="U72" s="56">
        <v>52981938</v>
      </c>
      <c r="V72" s="70" t="s">
        <v>124</v>
      </c>
      <c r="W72" s="56" t="b">
        <v>0</v>
      </c>
      <c r="X72" s="71">
        <f t="shared" si="18"/>
        <v>0.6012812328609044</v>
      </c>
      <c r="Y72" s="71">
        <f t="shared" si="19"/>
        <v>0.54534032918916631</v>
      </c>
      <c r="Z72" s="61">
        <f t="shared" si="20"/>
        <v>15</v>
      </c>
      <c r="AA72" s="58">
        <v>44074</v>
      </c>
      <c r="AB72" s="61" t="str">
        <f t="shared" si="21"/>
        <v>No</v>
      </c>
      <c r="AG72" s="56" t="b">
        <v>1</v>
      </c>
    </row>
    <row r="73" spans="1:33" x14ac:dyDescent="0.3">
      <c r="A73" s="3">
        <v>1979</v>
      </c>
      <c r="B73" s="67">
        <v>10159</v>
      </c>
      <c r="C73" s="52">
        <v>0.105</v>
      </c>
      <c r="D73" s="56" t="s">
        <v>76</v>
      </c>
      <c r="E73" s="52">
        <f t="shared" si="22"/>
        <v>6.9999999999999993E-2</v>
      </c>
      <c r="F73" s="56">
        <f t="shared" si="15"/>
        <v>155</v>
      </c>
      <c r="G73" s="56">
        <v>7146.05</v>
      </c>
      <c r="H73" s="56">
        <v>606838.56999999995</v>
      </c>
      <c r="I73" s="56">
        <v>180</v>
      </c>
      <c r="J73" s="58">
        <v>43678</v>
      </c>
      <c r="K73" s="58">
        <v>43739</v>
      </c>
      <c r="L73" s="56">
        <v>640000</v>
      </c>
      <c r="M73" s="66" t="s">
        <v>71</v>
      </c>
      <c r="N73" s="66" t="s">
        <v>81</v>
      </c>
      <c r="O73" s="56">
        <v>1119741</v>
      </c>
      <c r="P73" s="56">
        <v>640000</v>
      </c>
      <c r="Q73" s="68">
        <f t="shared" si="23"/>
        <v>0.54194547667719584</v>
      </c>
      <c r="R73" s="69">
        <f t="shared" si="16"/>
        <v>0.5715607448508182</v>
      </c>
      <c r="S73" s="56">
        <v>0</v>
      </c>
      <c r="T73" s="56">
        <f t="shared" si="17"/>
        <v>25</v>
      </c>
      <c r="U73" s="56">
        <v>1119741</v>
      </c>
      <c r="V73" s="70" t="s">
        <v>124</v>
      </c>
      <c r="W73" s="56" t="b">
        <v>0</v>
      </c>
      <c r="X73" s="71">
        <f t="shared" si="18"/>
        <v>0.5715607448508182</v>
      </c>
      <c r="Y73" s="71">
        <f t="shared" si="19"/>
        <v>0.54194547667719584</v>
      </c>
      <c r="Z73" s="61">
        <f t="shared" si="20"/>
        <v>25</v>
      </c>
      <c r="AA73" s="58">
        <v>0</v>
      </c>
      <c r="AB73" s="61" t="str">
        <f t="shared" si="21"/>
        <v>No</v>
      </c>
      <c r="AG73" s="56" t="b">
        <v>1</v>
      </c>
    </row>
    <row r="74" spans="1:33" x14ac:dyDescent="0.3">
      <c r="A74" s="3">
        <v>1981</v>
      </c>
      <c r="B74" s="67">
        <v>10182</v>
      </c>
      <c r="C74" s="52">
        <v>0.11109999999999999</v>
      </c>
      <c r="D74" s="56" t="s">
        <v>98</v>
      </c>
      <c r="E74" s="52">
        <f t="shared" si="22"/>
        <v>7.4349999999999999E-2</v>
      </c>
      <c r="F74" s="56">
        <f t="shared" si="15"/>
        <v>155</v>
      </c>
      <c r="G74" s="56">
        <v>42691.19</v>
      </c>
      <c r="H74" s="56">
        <v>3528222.7200000002</v>
      </c>
      <c r="I74" s="56">
        <v>180</v>
      </c>
      <c r="J74" s="58">
        <v>43678</v>
      </c>
      <c r="K74" s="58">
        <v>43739</v>
      </c>
      <c r="L74" s="56">
        <v>3695962.63</v>
      </c>
      <c r="M74" s="66" t="s">
        <v>57</v>
      </c>
      <c r="N74" s="66" t="s">
        <v>109</v>
      </c>
      <c r="O74" s="56">
        <v>7650679.6399999997</v>
      </c>
      <c r="P74" s="56">
        <v>3576375</v>
      </c>
      <c r="Q74" s="68">
        <f t="shared" si="23"/>
        <v>0.46116461360549144</v>
      </c>
      <c r="R74" s="69">
        <f t="shared" si="16"/>
        <v>0.46745847013403374</v>
      </c>
      <c r="S74" s="56">
        <v>0</v>
      </c>
      <c r="T74" s="56">
        <f t="shared" si="17"/>
        <v>25</v>
      </c>
      <c r="U74" s="56">
        <v>7650679.6399999997</v>
      </c>
      <c r="V74" s="70" t="s">
        <v>124</v>
      </c>
      <c r="W74" s="56" t="b">
        <v>0</v>
      </c>
      <c r="X74" s="71">
        <f t="shared" si="18"/>
        <v>0.46745847013403374</v>
      </c>
      <c r="Y74" s="71">
        <f t="shared" si="19"/>
        <v>0.46116461360549144</v>
      </c>
      <c r="Z74" s="61">
        <f t="shared" si="20"/>
        <v>25</v>
      </c>
      <c r="AA74" s="58">
        <v>44377</v>
      </c>
      <c r="AB74" s="61" t="str">
        <f t="shared" si="21"/>
        <v>No</v>
      </c>
      <c r="AG74" s="56" t="b">
        <v>1</v>
      </c>
    </row>
    <row r="75" spans="1:33" x14ac:dyDescent="0.3">
      <c r="A75" s="3">
        <v>1983</v>
      </c>
      <c r="B75" s="67">
        <v>10232</v>
      </c>
      <c r="C75" s="52">
        <v>0.1</v>
      </c>
      <c r="D75" s="56" t="s">
        <v>76</v>
      </c>
      <c r="E75" s="52">
        <f t="shared" si="22"/>
        <v>6.5000000000000002E-2</v>
      </c>
      <c r="F75" s="56">
        <f t="shared" si="15"/>
        <v>156</v>
      </c>
      <c r="G75" s="56">
        <v>184970.36</v>
      </c>
      <c r="H75" s="56">
        <v>16155776.74</v>
      </c>
      <c r="I75" s="56">
        <v>180</v>
      </c>
      <c r="J75" s="58">
        <v>43678</v>
      </c>
      <c r="K75" s="58">
        <v>43770</v>
      </c>
      <c r="L75" s="56">
        <v>17182125</v>
      </c>
      <c r="M75" s="66" t="s">
        <v>71</v>
      </c>
      <c r="N75" s="66" t="s">
        <v>81</v>
      </c>
      <c r="O75" s="56">
        <v>22446803</v>
      </c>
      <c r="P75" s="56">
        <v>17182125</v>
      </c>
      <c r="Q75" s="68">
        <f t="shared" si="23"/>
        <v>0.71973620207741829</v>
      </c>
      <c r="R75" s="69">
        <f t="shared" si="16"/>
        <v>0.76545978507496149</v>
      </c>
      <c r="S75" s="56">
        <v>0</v>
      </c>
      <c r="T75" s="56">
        <f t="shared" si="17"/>
        <v>24</v>
      </c>
      <c r="U75" s="56">
        <v>22446803</v>
      </c>
      <c r="V75" s="70" t="s">
        <v>124</v>
      </c>
      <c r="W75" s="56" t="b">
        <v>0</v>
      </c>
      <c r="X75" s="71">
        <f t="shared" si="18"/>
        <v>0.76545978507496149</v>
      </c>
      <c r="Y75" s="71">
        <f t="shared" si="19"/>
        <v>0.71973620207741829</v>
      </c>
      <c r="Z75" s="61">
        <f t="shared" si="20"/>
        <v>24</v>
      </c>
      <c r="AA75" s="58">
        <v>0</v>
      </c>
      <c r="AB75" s="61" t="str">
        <f t="shared" si="21"/>
        <v>No</v>
      </c>
      <c r="AG75" s="56" t="b">
        <v>1</v>
      </c>
    </row>
    <row r="76" spans="1:33" x14ac:dyDescent="0.3">
      <c r="A76" s="3">
        <v>1992</v>
      </c>
      <c r="B76" s="67">
        <v>10145</v>
      </c>
      <c r="C76" s="52">
        <v>0.115</v>
      </c>
      <c r="D76" s="56" t="s">
        <v>76</v>
      </c>
      <c r="E76" s="52">
        <f t="shared" si="22"/>
        <v>0.08</v>
      </c>
      <c r="F76" s="56">
        <f t="shared" si="15"/>
        <v>159</v>
      </c>
      <c r="G76" s="56">
        <v>13550.68</v>
      </c>
      <c r="H76" s="56">
        <v>1096777.8799999999</v>
      </c>
      <c r="I76" s="56">
        <v>180</v>
      </c>
      <c r="J76" s="58">
        <v>43709</v>
      </c>
      <c r="K76" s="58">
        <v>43862</v>
      </c>
      <c r="L76" s="56">
        <v>1122643.47</v>
      </c>
      <c r="M76" s="66" t="s">
        <v>71</v>
      </c>
      <c r="N76" s="66" t="s">
        <v>107</v>
      </c>
      <c r="O76" s="56">
        <v>1986896</v>
      </c>
      <c r="P76" s="56">
        <v>1160191</v>
      </c>
      <c r="Q76" s="68">
        <f t="shared" si="23"/>
        <v>0.55200568122337546</v>
      </c>
      <c r="R76" s="69">
        <f t="shared" si="16"/>
        <v>0.58392135270290946</v>
      </c>
      <c r="S76" s="56">
        <v>0</v>
      </c>
      <c r="T76" s="56">
        <f t="shared" si="17"/>
        <v>21</v>
      </c>
      <c r="U76" s="56">
        <v>1986896</v>
      </c>
      <c r="V76" s="70" t="s">
        <v>124</v>
      </c>
      <c r="W76" s="56" t="b">
        <v>0</v>
      </c>
      <c r="X76" s="71">
        <f t="shared" si="18"/>
        <v>0.58392135270290946</v>
      </c>
      <c r="Y76" s="71">
        <f t="shared" si="19"/>
        <v>0.55200568122337546</v>
      </c>
      <c r="Z76" s="61">
        <f t="shared" si="20"/>
        <v>21</v>
      </c>
      <c r="AA76" s="58">
        <v>44227</v>
      </c>
      <c r="AB76" s="61" t="str">
        <f t="shared" si="21"/>
        <v>No</v>
      </c>
      <c r="AG76" s="56" t="b">
        <v>1</v>
      </c>
    </row>
    <row r="77" spans="1:33" x14ac:dyDescent="0.3">
      <c r="A77" s="3">
        <v>1993</v>
      </c>
      <c r="B77" s="67">
        <v>9833</v>
      </c>
      <c r="C77" s="52">
        <v>0.1125</v>
      </c>
      <c r="D77" s="56" t="s">
        <v>76</v>
      </c>
      <c r="E77" s="52">
        <f t="shared" si="22"/>
        <v>7.7499999999999999E-2</v>
      </c>
      <c r="F77" s="56">
        <f t="shared" si="15"/>
        <v>160</v>
      </c>
      <c r="G77" s="56">
        <v>57100.43</v>
      </c>
      <c r="H77" s="56">
        <v>4686817.74</v>
      </c>
      <c r="I77" s="56">
        <v>180</v>
      </c>
      <c r="J77" s="58">
        <v>43709</v>
      </c>
      <c r="K77" s="58">
        <v>43891</v>
      </c>
      <c r="L77" s="56">
        <v>4913767.68</v>
      </c>
      <c r="M77" s="66" t="s">
        <v>53</v>
      </c>
      <c r="N77" s="66" t="s">
        <v>110</v>
      </c>
      <c r="O77" s="56">
        <v>8865309</v>
      </c>
      <c r="P77" s="56">
        <v>5680989</v>
      </c>
      <c r="Q77" s="68">
        <f t="shared" si="23"/>
        <v>0.40483293967046341</v>
      </c>
      <c r="R77" s="69">
        <f t="shared" si="16"/>
        <v>0.64081116631129276</v>
      </c>
      <c r="S77" s="56">
        <v>0</v>
      </c>
      <c r="T77" s="56">
        <f t="shared" si="17"/>
        <v>20</v>
      </c>
      <c r="U77" s="56">
        <v>11577165</v>
      </c>
      <c r="V77" s="70" t="s">
        <v>124</v>
      </c>
      <c r="W77" s="56" t="b">
        <v>0</v>
      </c>
      <c r="X77" s="71">
        <f t="shared" si="18"/>
        <v>0.64081116631129276</v>
      </c>
      <c r="Y77" s="71">
        <f t="shared" si="19"/>
        <v>0.40483293967046341</v>
      </c>
      <c r="Z77" s="61">
        <f t="shared" si="20"/>
        <v>20</v>
      </c>
      <c r="AA77" s="58">
        <v>0</v>
      </c>
      <c r="AB77" s="61" t="str">
        <f t="shared" si="21"/>
        <v>No</v>
      </c>
      <c r="AG77" s="56" t="b">
        <v>1</v>
      </c>
    </row>
    <row r="78" spans="1:33" x14ac:dyDescent="0.3">
      <c r="A78" s="3">
        <v>1994</v>
      </c>
      <c r="B78" s="67">
        <v>10190</v>
      </c>
      <c r="C78" s="52">
        <v>0.105</v>
      </c>
      <c r="D78" s="56" t="s">
        <v>76</v>
      </c>
      <c r="E78" s="52">
        <f t="shared" si="22"/>
        <v>6.9999999999999993E-2</v>
      </c>
      <c r="F78" s="56">
        <f t="shared" si="15"/>
        <v>157</v>
      </c>
      <c r="G78" s="56">
        <v>9985.98</v>
      </c>
      <c r="H78" s="56">
        <v>850602.3</v>
      </c>
      <c r="I78" s="56">
        <v>180</v>
      </c>
      <c r="J78" s="58">
        <v>43709</v>
      </c>
      <c r="K78" s="58">
        <v>43800</v>
      </c>
      <c r="L78" s="56">
        <v>877710</v>
      </c>
      <c r="M78" s="66" t="s">
        <v>53</v>
      </c>
      <c r="N78" s="66" t="s">
        <v>77</v>
      </c>
      <c r="O78" s="56">
        <v>1609856.14</v>
      </c>
      <c r="P78" s="56">
        <v>896594</v>
      </c>
      <c r="Q78" s="68">
        <f t="shared" si="23"/>
        <v>0.52837166802496627</v>
      </c>
      <c r="R78" s="69">
        <f t="shared" si="16"/>
        <v>0.55694044810736942</v>
      </c>
      <c r="S78" s="56">
        <v>0</v>
      </c>
      <c r="T78" s="56">
        <f t="shared" si="17"/>
        <v>23</v>
      </c>
      <c r="U78" s="56">
        <v>1609856</v>
      </c>
      <c r="V78" s="70" t="s">
        <v>124</v>
      </c>
      <c r="W78" s="56" t="b">
        <v>0</v>
      </c>
      <c r="X78" s="71">
        <f t="shared" si="18"/>
        <v>0.55694044810736942</v>
      </c>
      <c r="Y78" s="71">
        <f t="shared" si="19"/>
        <v>0.52837166802496627</v>
      </c>
      <c r="Z78" s="61">
        <f t="shared" si="20"/>
        <v>23</v>
      </c>
      <c r="AA78" s="58">
        <v>0</v>
      </c>
      <c r="AB78" s="61" t="str">
        <f t="shared" si="21"/>
        <v>No</v>
      </c>
      <c r="AG78" s="56" t="b">
        <v>1</v>
      </c>
    </row>
    <row r="79" spans="1:33" x14ac:dyDescent="0.3">
      <c r="A79" s="3">
        <v>2018</v>
      </c>
      <c r="B79" s="67">
        <v>10306</v>
      </c>
      <c r="C79" s="52">
        <v>0.115</v>
      </c>
      <c r="D79" s="56" t="s">
        <v>98</v>
      </c>
      <c r="E79" s="52">
        <f t="shared" si="22"/>
        <v>7.8250000000000014E-2</v>
      </c>
      <c r="F79" s="56">
        <f t="shared" si="15"/>
        <v>177</v>
      </c>
      <c r="G79" s="56">
        <v>131860.46</v>
      </c>
      <c r="H79" s="56">
        <v>10722002.48</v>
      </c>
      <c r="I79" s="56">
        <v>180</v>
      </c>
      <c r="J79" s="58">
        <v>43739</v>
      </c>
      <c r="K79" s="58">
        <v>44409</v>
      </c>
      <c r="L79" s="56">
        <v>10896621.460000001</v>
      </c>
      <c r="M79" s="66" t="s">
        <v>67</v>
      </c>
      <c r="N79" s="66" t="s">
        <v>111</v>
      </c>
      <c r="O79" s="56">
        <v>17205723</v>
      </c>
      <c r="P79" s="56">
        <v>11227720</v>
      </c>
      <c r="Q79" s="68">
        <f t="shared" si="23"/>
        <v>0.60662312582380251</v>
      </c>
      <c r="R79" s="69">
        <f t="shared" si="16"/>
        <v>0.65255729154770192</v>
      </c>
      <c r="S79" s="56">
        <v>0</v>
      </c>
      <c r="T79" s="56">
        <f t="shared" si="17"/>
        <v>3</v>
      </c>
      <c r="U79" s="56">
        <v>17674899</v>
      </c>
      <c r="V79" s="70" t="s">
        <v>124</v>
      </c>
      <c r="W79" s="56" t="b">
        <v>0</v>
      </c>
      <c r="X79" s="71">
        <f t="shared" si="18"/>
        <v>0.65255729154770192</v>
      </c>
      <c r="Y79" s="71">
        <f t="shared" si="19"/>
        <v>0.60662312582380251</v>
      </c>
      <c r="Z79" s="61">
        <f t="shared" si="20"/>
        <v>3</v>
      </c>
      <c r="AA79" s="58">
        <v>44104</v>
      </c>
      <c r="AB79" s="61" t="str">
        <f t="shared" si="21"/>
        <v>No</v>
      </c>
      <c r="AG79" s="56" t="b">
        <v>1</v>
      </c>
    </row>
    <row r="80" spans="1:33" x14ac:dyDescent="0.3">
      <c r="A80" s="3">
        <v>1997</v>
      </c>
      <c r="B80" s="67">
        <v>10177</v>
      </c>
      <c r="C80" s="52">
        <v>0.10249999999999999</v>
      </c>
      <c r="D80" s="56" t="s">
        <v>76</v>
      </c>
      <c r="E80" s="52">
        <f t="shared" si="22"/>
        <v>6.7499999999999991E-2</v>
      </c>
      <c r="F80" s="56">
        <f t="shared" si="15"/>
        <v>166</v>
      </c>
      <c r="G80" s="56">
        <v>198743.54</v>
      </c>
      <c r="H80" s="56">
        <v>17088501.789999999</v>
      </c>
      <c r="I80" s="56">
        <v>180</v>
      </c>
      <c r="J80" s="58">
        <v>43709</v>
      </c>
      <c r="K80" s="58">
        <v>44075</v>
      </c>
      <c r="L80" s="56">
        <v>17194969.449999999</v>
      </c>
      <c r="M80" s="66" t="s">
        <v>53</v>
      </c>
      <c r="N80" s="66" t="s">
        <v>97</v>
      </c>
      <c r="O80" s="56">
        <v>37130756</v>
      </c>
      <c r="P80" s="56">
        <v>23345802</v>
      </c>
      <c r="Q80" s="68">
        <f t="shared" si="23"/>
        <v>0.53828485173944873</v>
      </c>
      <c r="R80" s="69">
        <f t="shared" si="16"/>
        <v>0.6287456684156929</v>
      </c>
      <c r="S80" s="56">
        <v>0</v>
      </c>
      <c r="T80" s="56">
        <f t="shared" si="17"/>
        <v>14</v>
      </c>
      <c r="U80" s="56">
        <v>31746206</v>
      </c>
      <c r="V80" s="70" t="s">
        <v>124</v>
      </c>
      <c r="W80" s="56" t="b">
        <v>0</v>
      </c>
      <c r="X80" s="71">
        <f t="shared" si="18"/>
        <v>0.6287456684156929</v>
      </c>
      <c r="Y80" s="71">
        <f t="shared" si="19"/>
        <v>0.53828485173944873</v>
      </c>
      <c r="Z80" s="61">
        <f t="shared" si="20"/>
        <v>14</v>
      </c>
      <c r="AA80" s="58">
        <v>0</v>
      </c>
      <c r="AB80" s="61" t="str">
        <f t="shared" si="21"/>
        <v>No</v>
      </c>
      <c r="AG80" s="56" t="b">
        <v>1</v>
      </c>
    </row>
    <row r="81" spans="1:33" x14ac:dyDescent="0.3">
      <c r="A81" s="3">
        <v>1999</v>
      </c>
      <c r="B81" s="67">
        <v>10215</v>
      </c>
      <c r="C81" s="52">
        <v>0.105</v>
      </c>
      <c r="D81" s="56" t="s">
        <v>76</v>
      </c>
      <c r="E81" s="52">
        <f t="shared" si="22"/>
        <v>6.9999999999999993E-2</v>
      </c>
      <c r="F81" s="56">
        <f t="shared" si="15"/>
        <v>157</v>
      </c>
      <c r="G81" s="56">
        <v>17109.34</v>
      </c>
      <c r="H81" s="56">
        <v>1457367.55</v>
      </c>
      <c r="I81" s="56">
        <v>180</v>
      </c>
      <c r="J81" s="58">
        <v>43709</v>
      </c>
      <c r="K81" s="58">
        <v>43800</v>
      </c>
      <c r="L81" s="56">
        <v>1480119.7</v>
      </c>
      <c r="M81" s="66" t="s">
        <v>53</v>
      </c>
      <c r="N81" s="66" t="s">
        <v>55</v>
      </c>
      <c r="O81" s="56">
        <v>3940547</v>
      </c>
      <c r="P81" s="56">
        <v>1498646</v>
      </c>
      <c r="Q81" s="68">
        <f t="shared" si="23"/>
        <v>0.36983889546299031</v>
      </c>
      <c r="R81" s="69">
        <f t="shared" si="16"/>
        <v>0.38031420510908764</v>
      </c>
      <c r="S81" s="56">
        <v>0</v>
      </c>
      <c r="T81" s="56">
        <f t="shared" si="17"/>
        <v>23</v>
      </c>
      <c r="U81" s="56">
        <v>3940547</v>
      </c>
      <c r="V81" s="70" t="s">
        <v>124</v>
      </c>
      <c r="W81" s="56" t="b">
        <v>0</v>
      </c>
      <c r="X81" s="71">
        <f t="shared" si="18"/>
        <v>0.38031420510908764</v>
      </c>
      <c r="Y81" s="71">
        <f t="shared" si="19"/>
        <v>0.36983889546299031</v>
      </c>
      <c r="Z81" s="61">
        <f t="shared" si="20"/>
        <v>23</v>
      </c>
      <c r="AA81" s="58">
        <v>0</v>
      </c>
      <c r="AB81" s="61" t="str">
        <f t="shared" si="21"/>
        <v>No</v>
      </c>
      <c r="AG81" s="56" t="b">
        <v>1</v>
      </c>
    </row>
    <row r="82" spans="1:33" x14ac:dyDescent="0.3">
      <c r="A82" s="3">
        <v>2000</v>
      </c>
      <c r="B82" s="67">
        <v>10313</v>
      </c>
      <c r="C82" s="52">
        <v>0.105</v>
      </c>
      <c r="D82" s="56" t="s">
        <v>76</v>
      </c>
      <c r="E82" s="52">
        <f t="shared" si="22"/>
        <v>6.9999999999999993E-2</v>
      </c>
      <c r="F82" s="56">
        <f t="shared" si="15"/>
        <v>161</v>
      </c>
      <c r="G82" s="56">
        <v>6833.6</v>
      </c>
      <c r="H82" s="56">
        <v>582083.14</v>
      </c>
      <c r="I82" s="56">
        <v>180</v>
      </c>
      <c r="J82" s="58">
        <v>43709</v>
      </c>
      <c r="K82" s="58">
        <v>43922</v>
      </c>
      <c r="L82" s="56">
        <v>582869.54</v>
      </c>
      <c r="M82" s="66" t="s">
        <v>71</v>
      </c>
      <c r="N82" s="66" t="s">
        <v>107</v>
      </c>
      <c r="O82" s="56">
        <v>1186555</v>
      </c>
      <c r="P82" s="56">
        <v>612093</v>
      </c>
      <c r="Q82" s="68">
        <f t="shared" si="23"/>
        <v>0.49056566278006497</v>
      </c>
      <c r="R82" s="69">
        <f t="shared" si="16"/>
        <v>0.515857250612066</v>
      </c>
      <c r="S82" s="56">
        <v>0</v>
      </c>
      <c r="T82" s="56">
        <f t="shared" si="17"/>
        <v>19</v>
      </c>
      <c r="U82" s="56">
        <v>1186555</v>
      </c>
      <c r="V82" s="70" t="s">
        <v>124</v>
      </c>
      <c r="W82" s="56" t="b">
        <v>0</v>
      </c>
      <c r="X82" s="71">
        <f t="shared" si="18"/>
        <v>0.515857250612066</v>
      </c>
      <c r="Y82" s="71">
        <f t="shared" si="19"/>
        <v>0.49056566278006497</v>
      </c>
      <c r="Z82" s="61">
        <f t="shared" si="20"/>
        <v>19</v>
      </c>
      <c r="AA82" s="58">
        <v>44074</v>
      </c>
      <c r="AB82" s="61" t="str">
        <f t="shared" si="21"/>
        <v>No</v>
      </c>
      <c r="AG82" s="56" t="b">
        <v>1</v>
      </c>
    </row>
    <row r="83" spans="1:33" x14ac:dyDescent="0.3">
      <c r="A83" s="3">
        <v>2001</v>
      </c>
      <c r="B83" s="67">
        <v>8907</v>
      </c>
      <c r="C83" s="52">
        <v>0.105</v>
      </c>
      <c r="D83" s="56" t="s">
        <v>98</v>
      </c>
      <c r="E83" s="52">
        <f t="shared" si="22"/>
        <v>6.8250000000000005E-2</v>
      </c>
      <c r="F83" s="56">
        <f t="shared" si="15"/>
        <v>177</v>
      </c>
      <c r="G83" s="56">
        <v>62976.81</v>
      </c>
      <c r="H83" s="56">
        <v>5364206.8600000003</v>
      </c>
      <c r="I83" s="56">
        <v>180</v>
      </c>
      <c r="J83" s="58">
        <v>43709</v>
      </c>
      <c r="K83" s="58">
        <v>44409</v>
      </c>
      <c r="L83" s="56">
        <v>5192685.58</v>
      </c>
      <c r="M83" s="66" t="s">
        <v>67</v>
      </c>
      <c r="N83" s="66" t="s">
        <v>106</v>
      </c>
      <c r="O83" s="56">
        <v>10075045</v>
      </c>
      <c r="P83" s="56">
        <v>5546167</v>
      </c>
      <c r="Q83" s="68">
        <f t="shared" si="23"/>
        <v>0.56074789218040877</v>
      </c>
      <c r="R83" s="69">
        <f t="shared" si="16"/>
        <v>0.55048558095770295</v>
      </c>
      <c r="S83" s="56">
        <v>0</v>
      </c>
      <c r="T83" s="56">
        <f t="shared" si="17"/>
        <v>3</v>
      </c>
      <c r="U83" s="56">
        <v>9566165</v>
      </c>
      <c r="V83" s="70" t="s">
        <v>124</v>
      </c>
      <c r="W83" s="56" t="b">
        <v>0</v>
      </c>
      <c r="X83" s="71">
        <f t="shared" si="18"/>
        <v>0.55048558095770295</v>
      </c>
      <c r="Y83" s="71">
        <f t="shared" si="19"/>
        <v>0.56074789218040877</v>
      </c>
      <c r="Z83" s="61">
        <f t="shared" si="20"/>
        <v>3</v>
      </c>
      <c r="AA83" s="58">
        <v>0</v>
      </c>
      <c r="AB83" s="61" t="str">
        <f t="shared" si="21"/>
        <v>No</v>
      </c>
      <c r="AG83" s="56" t="b">
        <v>1</v>
      </c>
    </row>
    <row r="84" spans="1:33" x14ac:dyDescent="0.3">
      <c r="A84" s="3">
        <v>2003</v>
      </c>
      <c r="B84" s="67">
        <v>10284</v>
      </c>
      <c r="C84" s="52">
        <v>0.105</v>
      </c>
      <c r="D84" s="56" t="s">
        <v>76</v>
      </c>
      <c r="E84" s="52">
        <f t="shared" si="22"/>
        <v>6.9999999999999993E-2</v>
      </c>
      <c r="F84" s="56">
        <f t="shared" si="15"/>
        <v>168</v>
      </c>
      <c r="G84" s="56">
        <v>52000</v>
      </c>
      <c r="H84" s="56">
        <v>7034578.7999999998</v>
      </c>
      <c r="I84" s="56">
        <v>180</v>
      </c>
      <c r="J84" s="58">
        <v>43709</v>
      </c>
      <c r="K84" s="58">
        <v>44136</v>
      </c>
      <c r="L84" s="56">
        <v>6642588.9999999991</v>
      </c>
      <c r="M84" s="66" t="s">
        <v>64</v>
      </c>
      <c r="N84" s="66" t="s">
        <v>64</v>
      </c>
      <c r="O84" s="56">
        <v>11465894.060000001</v>
      </c>
      <c r="P84" s="56">
        <v>6905742</v>
      </c>
      <c r="Q84" s="68">
        <f t="shared" si="23"/>
        <v>0.68146407339029624</v>
      </c>
      <c r="R84" s="69">
        <f t="shared" si="16"/>
        <v>0.60228552294856974</v>
      </c>
      <c r="S84" s="56">
        <v>54600</v>
      </c>
      <c r="T84" s="56">
        <f t="shared" si="17"/>
        <v>12</v>
      </c>
      <c r="U84" s="56">
        <v>10322743.449999999</v>
      </c>
      <c r="V84" s="70" t="s">
        <v>124</v>
      </c>
      <c r="W84" s="56" t="b">
        <v>0</v>
      </c>
      <c r="X84" s="71">
        <f t="shared" si="18"/>
        <v>0.60228552294856974</v>
      </c>
      <c r="Y84" s="71">
        <f t="shared" si="19"/>
        <v>0.68146407339029624</v>
      </c>
      <c r="Z84" s="61">
        <f t="shared" si="20"/>
        <v>12</v>
      </c>
      <c r="AA84" s="58">
        <v>44347</v>
      </c>
      <c r="AB84" s="61" t="str">
        <f t="shared" si="21"/>
        <v>No</v>
      </c>
      <c r="AG84" s="56" t="b">
        <v>1</v>
      </c>
    </row>
    <row r="85" spans="1:33" x14ac:dyDescent="0.3">
      <c r="A85" s="3">
        <v>2006</v>
      </c>
      <c r="B85" s="67">
        <v>8082</v>
      </c>
      <c r="C85" s="52">
        <v>0.1075</v>
      </c>
      <c r="D85" s="56" t="s">
        <v>76</v>
      </c>
      <c r="E85" s="52">
        <f t="shared" si="22"/>
        <v>7.2499999999999995E-2</v>
      </c>
      <c r="F85" s="56">
        <f t="shared" si="15"/>
        <v>157</v>
      </c>
      <c r="G85" s="56">
        <v>130814.41</v>
      </c>
      <c r="H85" s="56">
        <v>12124607.279999999</v>
      </c>
      <c r="I85" s="56">
        <v>180</v>
      </c>
      <c r="J85" s="58">
        <v>43739</v>
      </c>
      <c r="K85" s="58">
        <v>43800</v>
      </c>
      <c r="L85" s="56">
        <v>11410027.630000001</v>
      </c>
      <c r="M85" s="66" t="s">
        <v>53</v>
      </c>
      <c r="N85" s="66" t="s">
        <v>77</v>
      </c>
      <c r="O85" s="56">
        <v>21032124.649999999</v>
      </c>
      <c r="P85" s="56">
        <v>13642570</v>
      </c>
      <c r="Q85" s="68">
        <f t="shared" si="23"/>
        <v>0.57648038330735174</v>
      </c>
      <c r="R85" s="69">
        <f t="shared" si="16"/>
        <v>0.64865391523818305</v>
      </c>
      <c r="S85" s="56">
        <v>0</v>
      </c>
      <c r="T85" s="56">
        <f t="shared" si="17"/>
        <v>23</v>
      </c>
      <c r="U85" s="56">
        <v>21032124.649999999</v>
      </c>
      <c r="V85" s="70" t="s">
        <v>124</v>
      </c>
      <c r="W85" s="56" t="b">
        <v>0</v>
      </c>
      <c r="X85" s="71">
        <f t="shared" si="18"/>
        <v>0.64865391523818305</v>
      </c>
      <c r="Y85" s="71">
        <f t="shared" si="19"/>
        <v>0.57648038330735174</v>
      </c>
      <c r="Z85" s="61">
        <f t="shared" si="20"/>
        <v>23</v>
      </c>
      <c r="AA85" s="58">
        <v>0</v>
      </c>
      <c r="AB85" s="61" t="str">
        <f t="shared" si="21"/>
        <v>No</v>
      </c>
      <c r="AG85" s="56" t="b">
        <v>1</v>
      </c>
    </row>
    <row r="86" spans="1:33" x14ac:dyDescent="0.3">
      <c r="A86" s="3">
        <v>2010</v>
      </c>
      <c r="B86" s="67">
        <v>8839</v>
      </c>
      <c r="C86" s="52">
        <v>0.1</v>
      </c>
      <c r="D86" s="56" t="s">
        <v>76</v>
      </c>
      <c r="E86" s="52">
        <f t="shared" si="22"/>
        <v>6.5000000000000002E-2</v>
      </c>
      <c r="F86" s="56">
        <f t="shared" si="15"/>
        <v>157</v>
      </c>
      <c r="G86" s="56">
        <v>36728.080000000002</v>
      </c>
      <c r="H86" s="56">
        <v>3218048.98</v>
      </c>
      <c r="I86" s="56">
        <v>180</v>
      </c>
      <c r="J86" s="58">
        <v>43739</v>
      </c>
      <c r="K86" s="58">
        <v>43800</v>
      </c>
      <c r="L86" s="56">
        <v>3905332</v>
      </c>
      <c r="M86" s="66" t="s">
        <v>57</v>
      </c>
      <c r="N86" s="66" t="s">
        <v>57</v>
      </c>
      <c r="O86" s="56">
        <v>7053092</v>
      </c>
      <c r="P86" s="56">
        <v>4300929</v>
      </c>
      <c r="Q86" s="68">
        <f t="shared" si="23"/>
        <v>0.45626074067940697</v>
      </c>
      <c r="R86" s="69">
        <f t="shared" si="16"/>
        <v>0.60979340691997208</v>
      </c>
      <c r="S86" s="56">
        <v>0</v>
      </c>
      <c r="T86" s="56">
        <f t="shared" si="17"/>
        <v>23</v>
      </c>
      <c r="U86" s="56">
        <v>7053092</v>
      </c>
      <c r="V86" s="70" t="s">
        <v>124</v>
      </c>
      <c r="W86" s="56" t="b">
        <v>0</v>
      </c>
      <c r="X86" s="71">
        <f t="shared" si="18"/>
        <v>0.60979340691997208</v>
      </c>
      <c r="Y86" s="71">
        <f t="shared" si="19"/>
        <v>0.45626074067940697</v>
      </c>
      <c r="Z86" s="61">
        <f t="shared" si="20"/>
        <v>23</v>
      </c>
      <c r="AA86" s="58">
        <v>0</v>
      </c>
      <c r="AB86" s="61" t="str">
        <f t="shared" si="21"/>
        <v>No</v>
      </c>
      <c r="AG86" s="56" t="b">
        <v>1</v>
      </c>
    </row>
    <row r="87" spans="1:33" x14ac:dyDescent="0.3">
      <c r="A87" s="3">
        <v>2014</v>
      </c>
      <c r="B87" s="67">
        <v>10227</v>
      </c>
      <c r="C87" s="52">
        <v>0.115</v>
      </c>
      <c r="D87" s="56" t="s">
        <v>76</v>
      </c>
      <c r="E87" s="52">
        <f t="shared" si="22"/>
        <v>0.08</v>
      </c>
      <c r="F87" s="56">
        <f t="shared" si="15"/>
        <v>157</v>
      </c>
      <c r="G87" s="56">
        <v>47460.61</v>
      </c>
      <c r="H87" s="56">
        <v>3859176.27</v>
      </c>
      <c r="I87" s="56">
        <v>180</v>
      </c>
      <c r="J87" s="58">
        <v>43739</v>
      </c>
      <c r="K87" s="58">
        <v>43800</v>
      </c>
      <c r="L87" s="56">
        <v>4025920</v>
      </c>
      <c r="M87" s="66" t="s">
        <v>53</v>
      </c>
      <c r="N87" s="66" t="s">
        <v>54</v>
      </c>
      <c r="O87" s="56">
        <v>6949581.3899999997</v>
      </c>
      <c r="P87" s="56">
        <v>3858903</v>
      </c>
      <c r="Q87" s="68">
        <f t="shared" si="23"/>
        <v>0.5352657690220799</v>
      </c>
      <c r="R87" s="69">
        <f t="shared" si="16"/>
        <v>0.55527128663500702</v>
      </c>
      <c r="S87" s="56">
        <v>0</v>
      </c>
      <c r="T87" s="56">
        <f t="shared" si="17"/>
        <v>23</v>
      </c>
      <c r="U87" s="56">
        <v>7209832</v>
      </c>
      <c r="V87" s="70" t="s">
        <v>124</v>
      </c>
      <c r="W87" s="56" t="b">
        <v>0</v>
      </c>
      <c r="X87" s="71">
        <f t="shared" si="18"/>
        <v>0.55527128663500702</v>
      </c>
      <c r="Y87" s="71">
        <f t="shared" si="19"/>
        <v>0.5352657690220799</v>
      </c>
      <c r="Z87" s="61">
        <f t="shared" si="20"/>
        <v>23</v>
      </c>
      <c r="AA87" s="58">
        <v>0</v>
      </c>
      <c r="AB87" s="61" t="str">
        <f t="shared" si="21"/>
        <v>No</v>
      </c>
      <c r="AG87" s="56" t="b">
        <v>1</v>
      </c>
    </row>
    <row r="88" spans="1:33" x14ac:dyDescent="0.3">
      <c r="A88" s="3">
        <v>2016</v>
      </c>
      <c r="B88" s="67">
        <v>10208</v>
      </c>
      <c r="C88" s="52">
        <v>0.115</v>
      </c>
      <c r="D88" s="56" t="s">
        <v>76</v>
      </c>
      <c r="E88" s="52">
        <f t="shared" si="22"/>
        <v>0.08</v>
      </c>
      <c r="F88" s="56">
        <f t="shared" si="15"/>
        <v>167</v>
      </c>
      <c r="G88" s="56">
        <v>22362.799999999999</v>
      </c>
      <c r="H88" s="56">
        <v>1827944.48</v>
      </c>
      <c r="I88" s="56">
        <v>180</v>
      </c>
      <c r="J88" s="58">
        <v>43739</v>
      </c>
      <c r="K88" s="58">
        <v>44105</v>
      </c>
      <c r="L88" s="56">
        <v>1795404</v>
      </c>
      <c r="M88" s="66" t="s">
        <v>53</v>
      </c>
      <c r="N88" s="66" t="s">
        <v>84</v>
      </c>
      <c r="O88" s="56">
        <v>4299326</v>
      </c>
      <c r="P88" s="56">
        <v>1953644</v>
      </c>
      <c r="Q88" s="68">
        <f t="shared" si="23"/>
        <v>0.42517001036906715</v>
      </c>
      <c r="R88" s="69">
        <f t="shared" si="16"/>
        <v>0.45440703961504664</v>
      </c>
      <c r="S88" s="56">
        <v>9480.94</v>
      </c>
      <c r="T88" s="56">
        <f t="shared" si="17"/>
        <v>13</v>
      </c>
      <c r="U88" s="56">
        <v>4299326</v>
      </c>
      <c r="V88" s="70" t="s">
        <v>124</v>
      </c>
      <c r="W88" s="56" t="b">
        <v>0</v>
      </c>
      <c r="X88" s="71">
        <f t="shared" si="18"/>
        <v>0.45440703961504664</v>
      </c>
      <c r="Y88" s="71">
        <f t="shared" si="19"/>
        <v>0.42517001036906715</v>
      </c>
      <c r="Z88" s="61">
        <f t="shared" si="20"/>
        <v>13</v>
      </c>
      <c r="AA88" s="58">
        <v>44135</v>
      </c>
      <c r="AB88" s="61" t="str">
        <f t="shared" si="21"/>
        <v>No</v>
      </c>
      <c r="AG88" s="56" t="b">
        <v>1</v>
      </c>
    </row>
    <row r="89" spans="1:33" x14ac:dyDescent="0.3">
      <c r="A89" s="3">
        <v>2019</v>
      </c>
      <c r="B89" s="67">
        <v>8442</v>
      </c>
      <c r="C89" s="52">
        <v>0.10150000000000001</v>
      </c>
      <c r="D89" s="56" t="s">
        <v>76</v>
      </c>
      <c r="E89" s="52">
        <f t="shared" si="22"/>
        <v>6.6500000000000004E-2</v>
      </c>
      <c r="F89" s="56">
        <f t="shared" si="15"/>
        <v>157</v>
      </c>
      <c r="G89" s="56">
        <v>63762.53</v>
      </c>
      <c r="H89" s="56">
        <v>5544539.4100000001</v>
      </c>
      <c r="I89" s="56">
        <v>180</v>
      </c>
      <c r="J89" s="58">
        <v>43739</v>
      </c>
      <c r="K89" s="58">
        <v>43800</v>
      </c>
      <c r="L89" s="56">
        <v>5670180</v>
      </c>
      <c r="M89" s="66" t="s">
        <v>53</v>
      </c>
      <c r="N89" s="66" t="s">
        <v>53</v>
      </c>
      <c r="O89" s="56">
        <v>9297992</v>
      </c>
      <c r="P89" s="56">
        <v>5670180</v>
      </c>
      <c r="Q89" s="68">
        <f t="shared" si="23"/>
        <v>0.59631578624718118</v>
      </c>
      <c r="R89" s="69">
        <f t="shared" si="16"/>
        <v>0.60982844467923825</v>
      </c>
      <c r="S89" s="56">
        <v>0</v>
      </c>
      <c r="T89" s="56">
        <f t="shared" si="17"/>
        <v>23</v>
      </c>
      <c r="U89" s="56">
        <v>9297992</v>
      </c>
      <c r="V89" s="70" t="s">
        <v>124</v>
      </c>
      <c r="W89" s="56" t="b">
        <v>0</v>
      </c>
      <c r="X89" s="71">
        <f t="shared" si="18"/>
        <v>0.60982844467923825</v>
      </c>
      <c r="Y89" s="71">
        <f t="shared" si="19"/>
        <v>0.59631578624718118</v>
      </c>
      <c r="Z89" s="61">
        <f t="shared" si="20"/>
        <v>23</v>
      </c>
      <c r="AA89" s="58">
        <v>0</v>
      </c>
      <c r="AB89" s="61" t="str">
        <f t="shared" si="21"/>
        <v>No</v>
      </c>
      <c r="AG89" s="56" t="b">
        <v>1</v>
      </c>
    </row>
    <row r="90" spans="1:33" x14ac:dyDescent="0.3">
      <c r="A90" s="3">
        <v>2020</v>
      </c>
      <c r="B90" s="67">
        <v>8102</v>
      </c>
      <c r="C90" s="52">
        <v>0.1075</v>
      </c>
      <c r="D90" s="56" t="s">
        <v>76</v>
      </c>
      <c r="E90" s="52">
        <f t="shared" si="22"/>
        <v>7.2499999999999995E-2</v>
      </c>
      <c r="F90" s="56">
        <f t="shared" si="15"/>
        <v>162</v>
      </c>
      <c r="G90" s="56">
        <v>136137.01</v>
      </c>
      <c r="H90" s="56">
        <v>11486656.619999999</v>
      </c>
      <c r="I90" s="56">
        <v>180</v>
      </c>
      <c r="J90" s="58">
        <v>43739</v>
      </c>
      <c r="K90" s="58">
        <v>43952</v>
      </c>
      <c r="L90" s="56">
        <v>16546436.57</v>
      </c>
      <c r="M90" s="66" t="s">
        <v>53</v>
      </c>
      <c r="N90" s="66" t="s">
        <v>53</v>
      </c>
      <c r="O90" s="56">
        <v>16199113</v>
      </c>
      <c r="P90" s="56">
        <v>9015775.0600000005</v>
      </c>
      <c r="Q90" s="68">
        <f t="shared" si="23"/>
        <v>0.70909170273705724</v>
      </c>
      <c r="R90" s="69">
        <f t="shared" si="16"/>
        <v>0.55655979805807887</v>
      </c>
      <c r="S90" s="56">
        <v>0</v>
      </c>
      <c r="T90" s="56">
        <f t="shared" si="17"/>
        <v>18</v>
      </c>
      <c r="U90" s="56">
        <v>16199113</v>
      </c>
      <c r="V90" s="70" t="s">
        <v>124</v>
      </c>
      <c r="W90" s="56" t="b">
        <v>0</v>
      </c>
      <c r="X90" s="71">
        <f t="shared" si="18"/>
        <v>0.55655979805807887</v>
      </c>
      <c r="Y90" s="71">
        <f t="shared" si="19"/>
        <v>0.70909170273705724</v>
      </c>
      <c r="Z90" s="61">
        <f t="shared" si="20"/>
        <v>18</v>
      </c>
      <c r="AA90" s="58">
        <v>0</v>
      </c>
      <c r="AB90" s="61" t="str">
        <f t="shared" si="21"/>
        <v>No</v>
      </c>
      <c r="AG90" s="56" t="b">
        <v>1</v>
      </c>
    </row>
    <row r="91" spans="1:33" x14ac:dyDescent="0.3">
      <c r="A91" s="3">
        <v>2021</v>
      </c>
      <c r="B91" s="67">
        <v>10172</v>
      </c>
      <c r="C91" s="52">
        <v>0.115</v>
      </c>
      <c r="D91" s="56" t="s">
        <v>76</v>
      </c>
      <c r="E91" s="52">
        <f t="shared" si="22"/>
        <v>0.08</v>
      </c>
      <c r="F91" s="56">
        <f t="shared" si="15"/>
        <v>161</v>
      </c>
      <c r="G91" s="56">
        <v>11425.31</v>
      </c>
      <c r="H91" s="56">
        <v>929028.86</v>
      </c>
      <c r="I91" s="56">
        <v>180</v>
      </c>
      <c r="J91" s="58">
        <v>43739</v>
      </c>
      <c r="K91" s="58">
        <v>43922</v>
      </c>
      <c r="L91" s="56">
        <v>934025</v>
      </c>
      <c r="M91" s="66" t="s">
        <v>53</v>
      </c>
      <c r="N91" s="66" t="s">
        <v>112</v>
      </c>
      <c r="O91" s="56">
        <v>1366540</v>
      </c>
      <c r="P91" s="56">
        <v>1034025</v>
      </c>
      <c r="Q91" s="68">
        <f t="shared" si="23"/>
        <v>0.67984022421590296</v>
      </c>
      <c r="R91" s="69">
        <f t="shared" si="16"/>
        <v>0.75667378927803064</v>
      </c>
      <c r="S91" s="56">
        <v>0</v>
      </c>
      <c r="T91" s="56">
        <f t="shared" si="17"/>
        <v>19</v>
      </c>
      <c r="U91" s="56">
        <v>1366540</v>
      </c>
      <c r="V91" s="70" t="s">
        <v>124</v>
      </c>
      <c r="W91" s="56" t="b">
        <v>0</v>
      </c>
      <c r="X91" s="71">
        <f t="shared" si="18"/>
        <v>0.75667378927803064</v>
      </c>
      <c r="Y91" s="71">
        <f t="shared" si="19"/>
        <v>0.67984022421590296</v>
      </c>
      <c r="Z91" s="61">
        <f t="shared" si="20"/>
        <v>19</v>
      </c>
      <c r="AA91" s="58">
        <v>0</v>
      </c>
      <c r="AB91" s="61" t="str">
        <f t="shared" si="21"/>
        <v>No</v>
      </c>
      <c r="AG91" s="56" t="b">
        <v>1</v>
      </c>
    </row>
    <row r="92" spans="1:33" x14ac:dyDescent="0.3">
      <c r="A92" s="3">
        <v>2027</v>
      </c>
      <c r="B92" s="67">
        <v>9274</v>
      </c>
      <c r="C92" s="52">
        <v>0.115</v>
      </c>
      <c r="D92" s="56" t="s">
        <v>76</v>
      </c>
      <c r="E92" s="52">
        <f t="shared" si="22"/>
        <v>0.08</v>
      </c>
      <c r="F92" s="56">
        <f t="shared" si="15"/>
        <v>172</v>
      </c>
      <c r="G92" s="56">
        <v>97476.45</v>
      </c>
      <c r="H92" s="56">
        <v>7926126.4800000004</v>
      </c>
      <c r="I92" s="56">
        <v>180</v>
      </c>
      <c r="J92" s="58">
        <v>43739</v>
      </c>
      <c r="K92" s="58">
        <v>44256</v>
      </c>
      <c r="L92" s="56">
        <v>7742034.1899999985</v>
      </c>
      <c r="M92" s="66" t="s">
        <v>67</v>
      </c>
      <c r="N92" s="66" t="s">
        <v>77</v>
      </c>
      <c r="O92" s="56">
        <v>11945588</v>
      </c>
      <c r="P92" s="56">
        <v>7436455</v>
      </c>
      <c r="Q92" s="68">
        <f t="shared" si="23"/>
        <v>0.61478703507278476</v>
      </c>
      <c r="R92" s="69">
        <f t="shared" si="16"/>
        <v>0.62252732975555491</v>
      </c>
      <c r="S92" s="56">
        <v>0</v>
      </c>
      <c r="T92" s="56">
        <f t="shared" si="17"/>
        <v>8</v>
      </c>
      <c r="U92" s="56">
        <v>12892475</v>
      </c>
      <c r="V92" s="70" t="s">
        <v>124</v>
      </c>
      <c r="W92" s="56" t="b">
        <v>0</v>
      </c>
      <c r="X92" s="71">
        <f t="shared" si="18"/>
        <v>0.62252732975555491</v>
      </c>
      <c r="Y92" s="71">
        <f t="shared" si="19"/>
        <v>0.61478703507278476</v>
      </c>
      <c r="Z92" s="61">
        <f t="shared" si="20"/>
        <v>8</v>
      </c>
      <c r="AA92" s="58">
        <v>44196</v>
      </c>
      <c r="AB92" s="61" t="str">
        <f t="shared" si="21"/>
        <v>No</v>
      </c>
      <c r="AG92" s="56" t="b">
        <v>1</v>
      </c>
    </row>
    <row r="93" spans="1:33" x14ac:dyDescent="0.3">
      <c r="A93" s="3">
        <v>2029</v>
      </c>
      <c r="B93" s="67">
        <v>0</v>
      </c>
      <c r="C93" s="52">
        <v>0.105</v>
      </c>
      <c r="D93" s="56" t="s">
        <v>76</v>
      </c>
      <c r="E93" s="52">
        <f t="shared" si="22"/>
        <v>6.9999999999999993E-2</v>
      </c>
      <c r="F93" s="56">
        <f t="shared" si="15"/>
        <v>158</v>
      </c>
      <c r="G93" s="56">
        <v>15395.17</v>
      </c>
      <c r="H93" s="56">
        <v>1315331.25</v>
      </c>
      <c r="I93" s="56">
        <v>180</v>
      </c>
      <c r="J93" s="58">
        <v>43770</v>
      </c>
      <c r="K93" s="58">
        <v>43831</v>
      </c>
      <c r="L93" s="56">
        <v>1154082.22</v>
      </c>
      <c r="M93" s="66" t="s">
        <v>53</v>
      </c>
      <c r="N93" s="66" t="s">
        <v>112</v>
      </c>
      <c r="O93" s="56">
        <v>1874303</v>
      </c>
      <c r="P93" s="56">
        <v>1341222</v>
      </c>
      <c r="Q93" s="68">
        <f t="shared" si="23"/>
        <v>0.70177087162534557</v>
      </c>
      <c r="R93" s="69">
        <f t="shared" si="16"/>
        <v>0.71558440657673816</v>
      </c>
      <c r="S93" s="56">
        <v>0</v>
      </c>
      <c r="T93" s="56">
        <f t="shared" si="17"/>
        <v>22</v>
      </c>
      <c r="U93" s="56">
        <v>1874303</v>
      </c>
      <c r="V93" s="70" t="s">
        <v>124</v>
      </c>
      <c r="W93" s="56" t="b">
        <v>0</v>
      </c>
      <c r="X93" s="71">
        <f t="shared" si="18"/>
        <v>0.71558440657673816</v>
      </c>
      <c r="Y93" s="71">
        <f t="shared" si="19"/>
        <v>0.70177087162534557</v>
      </c>
      <c r="Z93" s="61">
        <f t="shared" si="20"/>
        <v>22</v>
      </c>
      <c r="AA93" s="58">
        <v>0</v>
      </c>
      <c r="AB93" s="61" t="str">
        <f t="shared" si="21"/>
        <v>No</v>
      </c>
      <c r="AG93" s="56" t="b">
        <v>1</v>
      </c>
    </row>
    <row r="94" spans="1:33" x14ac:dyDescent="0.3">
      <c r="A94" s="3">
        <v>2030</v>
      </c>
      <c r="B94" s="67">
        <v>10354</v>
      </c>
      <c r="C94" s="52">
        <v>0.105</v>
      </c>
      <c r="D94" s="56" t="s">
        <v>76</v>
      </c>
      <c r="E94" s="52">
        <f t="shared" si="22"/>
        <v>6.9999999999999993E-2</v>
      </c>
      <c r="F94" s="56">
        <f t="shared" si="15"/>
        <v>160</v>
      </c>
      <c r="G94" s="56">
        <v>12599.7</v>
      </c>
      <c r="H94" s="56">
        <v>1079735.22</v>
      </c>
      <c r="I94" s="56">
        <v>180</v>
      </c>
      <c r="J94" s="58">
        <v>43770</v>
      </c>
      <c r="K94" s="58">
        <v>43891</v>
      </c>
      <c r="L94" s="56">
        <v>1129993</v>
      </c>
      <c r="M94" s="66" t="s">
        <v>53</v>
      </c>
      <c r="N94" s="66" t="s">
        <v>90</v>
      </c>
      <c r="O94" s="56">
        <v>1426531</v>
      </c>
      <c r="P94" s="56">
        <v>1129993</v>
      </c>
      <c r="Q94" s="68">
        <f t="shared" si="23"/>
        <v>0.75689572816854311</v>
      </c>
      <c r="R94" s="69">
        <f t="shared" si="16"/>
        <v>0.7921264942717684</v>
      </c>
      <c r="S94" s="56">
        <v>0</v>
      </c>
      <c r="T94" s="56">
        <f t="shared" si="17"/>
        <v>20</v>
      </c>
      <c r="U94" s="56">
        <v>1426531</v>
      </c>
      <c r="V94" s="70" t="s">
        <v>124</v>
      </c>
      <c r="W94" s="56" t="b">
        <v>0</v>
      </c>
      <c r="X94" s="71">
        <f t="shared" si="18"/>
        <v>0.7921264942717684</v>
      </c>
      <c r="Y94" s="71">
        <f t="shared" si="19"/>
        <v>0.75689572816854311</v>
      </c>
      <c r="Z94" s="61">
        <f t="shared" si="20"/>
        <v>20</v>
      </c>
      <c r="AA94" s="58">
        <v>0</v>
      </c>
      <c r="AB94" s="61" t="str">
        <f t="shared" si="21"/>
        <v>No</v>
      </c>
      <c r="AG94" s="56" t="b">
        <v>1</v>
      </c>
    </row>
    <row r="95" spans="1:33" x14ac:dyDescent="0.3">
      <c r="A95" s="3">
        <v>1882</v>
      </c>
      <c r="B95" s="67">
        <v>0</v>
      </c>
      <c r="C95" s="52">
        <v>0.105</v>
      </c>
      <c r="D95" s="56" t="s">
        <v>76</v>
      </c>
      <c r="E95" s="52">
        <f t="shared" si="22"/>
        <v>6.9999999999999993E-2</v>
      </c>
      <c r="F95" s="56">
        <f t="shared" si="15"/>
        <v>146</v>
      </c>
      <c r="G95" s="56">
        <v>15783.93</v>
      </c>
      <c r="H95" s="56">
        <v>1301649.04</v>
      </c>
      <c r="I95" s="56">
        <v>180</v>
      </c>
      <c r="J95" s="58">
        <v>43374</v>
      </c>
      <c r="K95" s="58">
        <v>43466</v>
      </c>
      <c r="L95" s="56">
        <v>1358871</v>
      </c>
      <c r="M95" s="66" t="s">
        <v>53</v>
      </c>
      <c r="N95" s="66" t="s">
        <v>53</v>
      </c>
      <c r="O95" s="56">
        <v>4016139</v>
      </c>
      <c r="P95" s="56">
        <v>2137436</v>
      </c>
      <c r="Q95" s="68">
        <f t="shared" si="23"/>
        <v>0.32377549393428867</v>
      </c>
      <c r="R95" s="69">
        <f t="shared" si="16"/>
        <v>0.53221165900881418</v>
      </c>
      <c r="S95" s="56">
        <v>0</v>
      </c>
      <c r="T95" s="56">
        <f t="shared" si="17"/>
        <v>34</v>
      </c>
      <c r="U95" s="56">
        <v>4020221</v>
      </c>
      <c r="V95" s="70" t="s">
        <v>124</v>
      </c>
      <c r="W95" s="56" t="b">
        <v>0</v>
      </c>
      <c r="X95" s="71">
        <f t="shared" si="18"/>
        <v>0.53221165900881418</v>
      </c>
      <c r="Y95" s="71">
        <f t="shared" si="19"/>
        <v>0.32377549393428867</v>
      </c>
      <c r="Z95" s="61">
        <f t="shared" si="20"/>
        <v>34</v>
      </c>
      <c r="AA95" s="58">
        <v>0</v>
      </c>
      <c r="AB95" s="61" t="str">
        <f t="shared" si="21"/>
        <v>No</v>
      </c>
      <c r="AG95" s="56" t="b">
        <v>1</v>
      </c>
    </row>
    <row r="96" spans="1:33" x14ac:dyDescent="0.3">
      <c r="A96" s="3">
        <v>2041</v>
      </c>
      <c r="B96" s="67">
        <v>10328</v>
      </c>
      <c r="C96" s="52">
        <v>0.10550000000000001</v>
      </c>
      <c r="D96" s="56" t="s">
        <v>98</v>
      </c>
      <c r="E96" s="52">
        <f t="shared" si="22"/>
        <v>6.8750000000000006E-2</v>
      </c>
      <c r="F96" s="56">
        <f t="shared" si="15"/>
        <v>158</v>
      </c>
      <c r="G96" s="56">
        <v>331029.34999999998</v>
      </c>
      <c r="H96" s="56">
        <v>28295445.309999999</v>
      </c>
      <c r="I96" s="56">
        <v>180</v>
      </c>
      <c r="J96" s="58">
        <v>43770</v>
      </c>
      <c r="K96" s="58">
        <v>43831</v>
      </c>
      <c r="L96" s="56">
        <v>29323138.440000001</v>
      </c>
      <c r="M96" s="66" t="s">
        <v>67</v>
      </c>
      <c r="N96" s="66" t="s">
        <v>67</v>
      </c>
      <c r="O96" s="56">
        <v>39106172</v>
      </c>
      <c r="P96" s="56">
        <v>24718680</v>
      </c>
      <c r="Q96" s="68">
        <f t="shared" si="23"/>
        <v>0.70240199356396904</v>
      </c>
      <c r="R96" s="69">
        <f t="shared" si="16"/>
        <v>0.63209152764939514</v>
      </c>
      <c r="S96" s="56">
        <v>0</v>
      </c>
      <c r="T96" s="56">
        <f t="shared" si="17"/>
        <v>22</v>
      </c>
      <c r="U96" s="56">
        <v>40283834</v>
      </c>
      <c r="V96" s="70" t="s">
        <v>124</v>
      </c>
      <c r="W96" s="56" t="b">
        <v>0</v>
      </c>
      <c r="X96" s="71">
        <f t="shared" si="18"/>
        <v>0.63209152764939514</v>
      </c>
      <c r="Y96" s="71">
        <f t="shared" si="19"/>
        <v>0.70240199356396904</v>
      </c>
      <c r="Z96" s="61">
        <f t="shared" si="20"/>
        <v>22</v>
      </c>
      <c r="AA96" s="58">
        <v>0</v>
      </c>
      <c r="AB96" s="61" t="str">
        <f t="shared" si="21"/>
        <v>No</v>
      </c>
      <c r="AG96" s="56" t="b">
        <v>1</v>
      </c>
    </row>
    <row r="97" spans="1:33" x14ac:dyDescent="0.3">
      <c r="A97" s="3">
        <v>2044</v>
      </c>
      <c r="B97" s="67">
        <v>10197</v>
      </c>
      <c r="C97" s="52">
        <v>0.1075</v>
      </c>
      <c r="D97" s="56" t="s">
        <v>76</v>
      </c>
      <c r="E97" s="52">
        <f t="shared" si="22"/>
        <v>7.2499999999999995E-2</v>
      </c>
      <c r="F97" s="56">
        <f t="shared" si="15"/>
        <v>159</v>
      </c>
      <c r="G97" s="56">
        <v>11160.31</v>
      </c>
      <c r="H97" s="56">
        <v>976771.93</v>
      </c>
      <c r="I97" s="56">
        <v>180</v>
      </c>
      <c r="J97" s="58">
        <v>43770</v>
      </c>
      <c r="K97" s="58">
        <v>43862</v>
      </c>
      <c r="L97" s="56">
        <v>659511</v>
      </c>
      <c r="M97" s="66" t="s">
        <v>53</v>
      </c>
      <c r="N97" s="66" t="s">
        <v>102</v>
      </c>
      <c r="O97" s="56">
        <v>1779030</v>
      </c>
      <c r="P97" s="56">
        <v>996871</v>
      </c>
      <c r="Q97" s="68">
        <f t="shared" si="23"/>
        <v>0.54904747530957887</v>
      </c>
      <c r="R97" s="69">
        <f t="shared" si="16"/>
        <v>0.56034524431853316</v>
      </c>
      <c r="S97" s="56">
        <v>0</v>
      </c>
      <c r="T97" s="56">
        <f t="shared" si="17"/>
        <v>21</v>
      </c>
      <c r="U97" s="56">
        <v>1779030</v>
      </c>
      <c r="V97" s="70" t="s">
        <v>124</v>
      </c>
      <c r="W97" s="56" t="b">
        <v>0</v>
      </c>
      <c r="X97" s="71">
        <f t="shared" si="18"/>
        <v>0.56034524431853316</v>
      </c>
      <c r="Y97" s="71">
        <f t="shared" si="19"/>
        <v>0.54904747530957887</v>
      </c>
      <c r="Z97" s="61">
        <f t="shared" si="20"/>
        <v>21</v>
      </c>
      <c r="AA97" s="58">
        <v>0</v>
      </c>
      <c r="AB97" s="61" t="str">
        <f t="shared" si="21"/>
        <v>No</v>
      </c>
      <c r="AG97" s="56" t="b">
        <v>1</v>
      </c>
    </row>
    <row r="98" spans="1:33" x14ac:dyDescent="0.3">
      <c r="A98" s="3">
        <v>2047</v>
      </c>
      <c r="B98" s="67">
        <v>10386</v>
      </c>
      <c r="C98" s="52">
        <v>0.105</v>
      </c>
      <c r="D98" s="56" t="s">
        <v>76</v>
      </c>
      <c r="E98" s="52">
        <f t="shared" si="22"/>
        <v>6.9999999999999993E-2</v>
      </c>
      <c r="F98" s="56">
        <f t="shared" si="15"/>
        <v>162</v>
      </c>
      <c r="G98" s="56">
        <v>47027.39</v>
      </c>
      <c r="H98" s="56">
        <v>3365425.08</v>
      </c>
      <c r="I98" s="56">
        <v>180</v>
      </c>
      <c r="J98" s="58">
        <v>43800</v>
      </c>
      <c r="K98" s="58">
        <v>43952</v>
      </c>
      <c r="L98" s="56">
        <v>3375764</v>
      </c>
      <c r="M98" s="66" t="s">
        <v>64</v>
      </c>
      <c r="N98" s="66" t="s">
        <v>64</v>
      </c>
      <c r="O98" s="56">
        <v>6401352.96</v>
      </c>
      <c r="P98" s="56">
        <v>3506866</v>
      </c>
      <c r="Q98" s="68">
        <f t="shared" si="23"/>
        <v>0.52573652804797066</v>
      </c>
      <c r="R98" s="69">
        <f t="shared" si="16"/>
        <v>0.5478320008150277</v>
      </c>
      <c r="S98" s="56">
        <v>0</v>
      </c>
      <c r="T98" s="56">
        <f t="shared" si="17"/>
        <v>18</v>
      </c>
      <c r="U98" s="56">
        <v>6401352.96</v>
      </c>
      <c r="V98" s="70" t="s">
        <v>124</v>
      </c>
      <c r="W98" s="56" t="b">
        <v>0</v>
      </c>
      <c r="X98" s="71">
        <f t="shared" si="18"/>
        <v>0.5478320008150277</v>
      </c>
      <c r="Y98" s="71">
        <f t="shared" si="19"/>
        <v>0.52573652804797066</v>
      </c>
      <c r="Z98" s="61">
        <f t="shared" si="20"/>
        <v>18</v>
      </c>
      <c r="AA98" s="58">
        <v>0</v>
      </c>
      <c r="AB98" s="61" t="str">
        <f t="shared" si="21"/>
        <v>No</v>
      </c>
      <c r="AG98" s="56" t="b">
        <v>1</v>
      </c>
    </row>
    <row r="99" spans="1:33" x14ac:dyDescent="0.3">
      <c r="A99" s="3">
        <v>2049</v>
      </c>
      <c r="B99" s="67">
        <v>10235</v>
      </c>
      <c r="C99" s="52">
        <v>9.8000000000000004E-2</v>
      </c>
      <c r="D99" s="56" t="s">
        <v>98</v>
      </c>
      <c r="E99" s="52">
        <f t="shared" si="22"/>
        <v>6.1250000000000006E-2</v>
      </c>
      <c r="F99" s="56">
        <f t="shared" ref="F99:F130" si="24">I99-T99</f>
        <v>159</v>
      </c>
      <c r="G99" s="56">
        <v>534791.68000000005</v>
      </c>
      <c r="H99" s="56">
        <v>47634430.009999998</v>
      </c>
      <c r="I99" s="56">
        <v>180</v>
      </c>
      <c r="J99" s="58">
        <v>43800</v>
      </c>
      <c r="K99" s="58">
        <v>43862</v>
      </c>
      <c r="L99" s="56">
        <v>49782629</v>
      </c>
      <c r="M99" s="66" t="s">
        <v>67</v>
      </c>
      <c r="N99" s="66" t="s">
        <v>113</v>
      </c>
      <c r="O99" s="56">
        <v>68314801</v>
      </c>
      <c r="P99" s="56">
        <v>41861620</v>
      </c>
      <c r="Q99" s="68">
        <f t="shared" si="23"/>
        <v>0.69566125785209565</v>
      </c>
      <c r="R99" s="69">
        <f t="shared" ref="R99:R130" si="25">P99/O99</f>
        <v>0.61277526081061118</v>
      </c>
      <c r="S99" s="56">
        <v>0</v>
      </c>
      <c r="T99" s="56">
        <f t="shared" ref="T99:T130" si="26">+DATEDIF(EOMONTH($K99,-1),$Z$1+1,"M")</f>
        <v>21</v>
      </c>
      <c r="U99" s="56">
        <v>68473599</v>
      </c>
      <c r="V99" s="70" t="s">
        <v>124</v>
      </c>
      <c r="W99" s="56" t="b">
        <v>0</v>
      </c>
      <c r="X99" s="71">
        <f t="shared" ref="X99:X130" si="27">+P99/O99</f>
        <v>0.61277526081061118</v>
      </c>
      <c r="Y99" s="71">
        <f t="shared" ref="Y99:Y130" si="28">+H99/U99</f>
        <v>0.69566125785209565</v>
      </c>
      <c r="Z99" s="61">
        <f t="shared" ref="Z99:Z130" si="29">+DATEDIF(EOMONTH(K99,-1),$Z$1+1,"M")</f>
        <v>21</v>
      </c>
      <c r="AA99" s="58">
        <v>0</v>
      </c>
      <c r="AB99" s="61" t="str">
        <f t="shared" si="21"/>
        <v>No</v>
      </c>
      <c r="AG99" s="56" t="b">
        <v>1</v>
      </c>
    </row>
    <row r="100" spans="1:33" x14ac:dyDescent="0.3">
      <c r="A100" s="3">
        <v>2050</v>
      </c>
      <c r="B100" s="67">
        <v>10371</v>
      </c>
      <c r="C100" s="52">
        <v>0.1</v>
      </c>
      <c r="D100" s="56" t="s">
        <v>76</v>
      </c>
      <c r="E100" s="52">
        <f t="shared" si="22"/>
        <v>6.5000000000000002E-2</v>
      </c>
      <c r="F100" s="56">
        <f t="shared" si="24"/>
        <v>159</v>
      </c>
      <c r="G100" s="56">
        <v>30358.9</v>
      </c>
      <c r="H100" s="56">
        <v>2676489.375</v>
      </c>
      <c r="I100" s="56">
        <v>180</v>
      </c>
      <c r="J100" s="58">
        <v>43800</v>
      </c>
      <c r="K100" s="58">
        <v>43862</v>
      </c>
      <c r="L100" s="56">
        <v>2718563</v>
      </c>
      <c r="M100" s="66" t="s">
        <v>71</v>
      </c>
      <c r="N100" s="66" t="s">
        <v>81</v>
      </c>
      <c r="O100" s="56">
        <v>4487366</v>
      </c>
      <c r="P100" s="56">
        <v>2718563</v>
      </c>
      <c r="Q100" s="68">
        <f t="shared" si="23"/>
        <v>0.59644998313041553</v>
      </c>
      <c r="R100" s="69">
        <f t="shared" si="25"/>
        <v>0.6058260012666673</v>
      </c>
      <c r="S100" s="56">
        <v>0</v>
      </c>
      <c r="T100" s="56">
        <f t="shared" si="26"/>
        <v>21</v>
      </c>
      <c r="U100" s="56">
        <v>4487366</v>
      </c>
      <c r="V100" s="70" t="s">
        <v>124</v>
      </c>
      <c r="W100" s="56" t="b">
        <v>0</v>
      </c>
      <c r="X100" s="71">
        <f t="shared" si="27"/>
        <v>0.6058260012666673</v>
      </c>
      <c r="Y100" s="71">
        <f t="shared" si="28"/>
        <v>0.59644998313041553</v>
      </c>
      <c r="Z100" s="61">
        <f t="shared" si="29"/>
        <v>21</v>
      </c>
      <c r="AA100" s="58">
        <v>0</v>
      </c>
      <c r="AB100" s="61" t="str">
        <f t="shared" si="21"/>
        <v>No</v>
      </c>
      <c r="AG100" s="56" t="b">
        <v>1</v>
      </c>
    </row>
    <row r="101" spans="1:33" x14ac:dyDescent="0.3">
      <c r="A101" s="3">
        <v>1711</v>
      </c>
      <c r="B101" s="67">
        <v>9515</v>
      </c>
      <c r="C101" s="52">
        <v>0.10249999999999999</v>
      </c>
      <c r="D101" s="56" t="s">
        <v>76</v>
      </c>
      <c r="E101" s="52">
        <f t="shared" si="22"/>
        <v>6.7499999999999991E-2</v>
      </c>
      <c r="F101" s="56">
        <f t="shared" si="24"/>
        <v>139</v>
      </c>
      <c r="G101" s="56">
        <v>231203.76</v>
      </c>
      <c r="H101" s="56">
        <v>18139058.120000001</v>
      </c>
      <c r="I101" s="56">
        <v>180</v>
      </c>
      <c r="J101" s="58">
        <v>42917</v>
      </c>
      <c r="K101" s="58">
        <v>43252</v>
      </c>
      <c r="L101" s="56">
        <v>18709241.899999999</v>
      </c>
      <c r="M101" s="66" t="s">
        <v>53</v>
      </c>
      <c r="N101" s="66" t="s">
        <v>91</v>
      </c>
      <c r="O101" s="56">
        <v>24629094.690000001</v>
      </c>
      <c r="P101" s="56">
        <v>16129676</v>
      </c>
      <c r="Q101" s="68">
        <f t="shared" si="23"/>
        <v>0.71382706495825154</v>
      </c>
      <c r="R101" s="69">
        <f t="shared" si="25"/>
        <v>0.65490332482862357</v>
      </c>
      <c r="S101" s="56">
        <v>0</v>
      </c>
      <c r="T101" s="56">
        <f t="shared" si="26"/>
        <v>41</v>
      </c>
      <c r="U101" s="56">
        <v>25410998</v>
      </c>
      <c r="V101" s="70" t="s">
        <v>124</v>
      </c>
      <c r="W101" s="56" t="b">
        <v>0</v>
      </c>
      <c r="X101" s="71">
        <f t="shared" si="27"/>
        <v>0.65490332482862357</v>
      </c>
      <c r="Y101" s="71">
        <f t="shared" si="28"/>
        <v>0.71382706495825154</v>
      </c>
      <c r="Z101" s="61">
        <f t="shared" si="29"/>
        <v>41</v>
      </c>
      <c r="AA101" s="58">
        <v>0</v>
      </c>
      <c r="AB101" s="61" t="str">
        <f t="shared" si="21"/>
        <v>No</v>
      </c>
      <c r="AG101" s="56" t="b">
        <v>1</v>
      </c>
    </row>
    <row r="102" spans="1:33" ht="13.2" customHeight="1" x14ac:dyDescent="0.3">
      <c r="A102" s="3">
        <v>1840</v>
      </c>
      <c r="B102" s="67">
        <v>9846</v>
      </c>
      <c r="C102" s="52">
        <v>0.105</v>
      </c>
      <c r="D102" s="56" t="s">
        <v>76</v>
      </c>
      <c r="E102" s="52">
        <f t="shared" si="22"/>
        <v>6.9999999999999993E-2</v>
      </c>
      <c r="F102" s="56">
        <f t="shared" si="24"/>
        <v>148</v>
      </c>
      <c r="G102" s="56">
        <v>75430.97</v>
      </c>
      <c r="H102" s="56">
        <v>6133731.6299999999</v>
      </c>
      <c r="I102" s="56">
        <v>180</v>
      </c>
      <c r="J102" s="58">
        <v>43282</v>
      </c>
      <c r="K102" s="58">
        <v>43525</v>
      </c>
      <c r="L102" s="56">
        <v>6126305</v>
      </c>
      <c r="M102" s="66" t="s">
        <v>53</v>
      </c>
      <c r="N102" s="66" t="s">
        <v>80</v>
      </c>
      <c r="O102" s="56">
        <v>11619342.98</v>
      </c>
      <c r="P102" s="56">
        <v>6441561</v>
      </c>
      <c r="Q102" s="68">
        <f t="shared" si="23"/>
        <v>0.52788971291731335</v>
      </c>
      <c r="R102" s="69">
        <f t="shared" si="25"/>
        <v>0.55438255081097532</v>
      </c>
      <c r="S102" s="56">
        <v>0</v>
      </c>
      <c r="T102" s="56">
        <f t="shared" si="26"/>
        <v>32</v>
      </c>
      <c r="U102" s="56">
        <v>11619342.98</v>
      </c>
      <c r="V102" s="70" t="s">
        <v>124</v>
      </c>
      <c r="W102" s="56" t="b">
        <v>0</v>
      </c>
      <c r="X102" s="71">
        <f t="shared" si="27"/>
        <v>0.55438255081097532</v>
      </c>
      <c r="Y102" s="71">
        <f t="shared" si="28"/>
        <v>0.52788971291731335</v>
      </c>
      <c r="Z102" s="61">
        <f t="shared" si="29"/>
        <v>32</v>
      </c>
      <c r="AA102" s="58">
        <v>0</v>
      </c>
      <c r="AB102" s="61" t="str">
        <f t="shared" si="21"/>
        <v>No</v>
      </c>
      <c r="AG102" s="56" t="b">
        <v>1</v>
      </c>
    </row>
    <row r="103" spans="1:33" ht="13.2" customHeight="1" x14ac:dyDescent="0.3">
      <c r="A103" s="3">
        <v>2116</v>
      </c>
      <c r="B103" s="67">
        <v>9377</v>
      </c>
      <c r="C103" s="52">
        <v>0.105</v>
      </c>
      <c r="D103" s="56" t="s">
        <v>76</v>
      </c>
      <c r="E103" s="52">
        <f t="shared" si="22"/>
        <v>6.9999999999999993E-2</v>
      </c>
      <c r="F103" s="56">
        <f t="shared" si="24"/>
        <v>173</v>
      </c>
      <c r="G103" s="56">
        <v>32486.48</v>
      </c>
      <c r="H103" s="56">
        <v>2499891.89</v>
      </c>
      <c r="I103" s="56">
        <v>180</v>
      </c>
      <c r="J103" s="58">
        <v>44228</v>
      </c>
      <c r="K103" s="58">
        <v>44287</v>
      </c>
      <c r="L103" s="56">
        <v>2596609.65</v>
      </c>
      <c r="M103" s="66" t="s">
        <v>75</v>
      </c>
      <c r="N103" s="66" t="s">
        <v>114</v>
      </c>
      <c r="O103" s="56">
        <v>4928599</v>
      </c>
      <c r="P103" s="56">
        <v>2719813</v>
      </c>
      <c r="Q103" s="68">
        <f t="shared" si="23"/>
        <v>0.50722160394870841</v>
      </c>
      <c r="R103" s="69">
        <f t="shared" si="25"/>
        <v>0.55184302882015757</v>
      </c>
      <c r="S103" s="56">
        <v>0</v>
      </c>
      <c r="T103" s="56">
        <f t="shared" si="26"/>
        <v>7</v>
      </c>
      <c r="U103" s="56">
        <v>4928599</v>
      </c>
      <c r="V103" s="70" t="s">
        <v>124</v>
      </c>
      <c r="W103" s="56" t="b">
        <v>0</v>
      </c>
      <c r="X103" s="71">
        <f t="shared" si="27"/>
        <v>0.55184302882015757</v>
      </c>
      <c r="Y103" s="71">
        <f t="shared" si="28"/>
        <v>0.50722160394870841</v>
      </c>
      <c r="Z103" s="61">
        <f t="shared" si="29"/>
        <v>7</v>
      </c>
      <c r="AA103" s="58">
        <v>0</v>
      </c>
      <c r="AB103" s="61" t="str">
        <f t="shared" si="21"/>
        <v>No</v>
      </c>
      <c r="AG103" s="56" t="b">
        <v>1</v>
      </c>
    </row>
    <row r="104" spans="1:33" x14ac:dyDescent="0.3">
      <c r="A104" s="3">
        <v>1870</v>
      </c>
      <c r="B104" s="67">
        <v>8798</v>
      </c>
      <c r="C104" s="52">
        <v>0.105</v>
      </c>
      <c r="D104" s="56" t="s">
        <v>76</v>
      </c>
      <c r="E104" s="52">
        <f t="shared" si="22"/>
        <v>6.9999999999999993E-2</v>
      </c>
      <c r="F104" s="56">
        <f t="shared" si="24"/>
        <v>147</v>
      </c>
      <c r="G104" s="56">
        <v>126048.71</v>
      </c>
      <c r="H104" s="56">
        <v>10322847.810000001</v>
      </c>
      <c r="I104" s="56">
        <v>180</v>
      </c>
      <c r="J104" s="58">
        <v>43344</v>
      </c>
      <c r="K104" s="58">
        <v>43497</v>
      </c>
      <c r="L104" s="56">
        <v>10328750</v>
      </c>
      <c r="M104" s="66" t="s">
        <v>53</v>
      </c>
      <c r="N104" s="66" t="s">
        <v>53</v>
      </c>
      <c r="O104" s="56">
        <v>19482440</v>
      </c>
      <c r="P104" s="56">
        <v>11400204</v>
      </c>
      <c r="Q104" s="68">
        <f t="shared" si="23"/>
        <v>0.55621863869098376</v>
      </c>
      <c r="R104" s="69">
        <f t="shared" si="25"/>
        <v>0.58515278373756063</v>
      </c>
      <c r="S104" s="56">
        <v>0</v>
      </c>
      <c r="T104" s="56">
        <f t="shared" si="26"/>
        <v>33</v>
      </c>
      <c r="U104" s="56">
        <v>18558975</v>
      </c>
      <c r="V104" s="70" t="s">
        <v>124</v>
      </c>
      <c r="W104" s="56" t="b">
        <v>0</v>
      </c>
      <c r="X104" s="71">
        <f t="shared" si="27"/>
        <v>0.58515278373756063</v>
      </c>
      <c r="Y104" s="71">
        <f t="shared" si="28"/>
        <v>0.55621863869098376</v>
      </c>
      <c r="Z104" s="61">
        <f t="shared" si="29"/>
        <v>33</v>
      </c>
      <c r="AA104" s="58">
        <v>44286</v>
      </c>
      <c r="AB104" s="61" t="str">
        <f t="shared" si="21"/>
        <v>No</v>
      </c>
      <c r="AG104" s="56" t="b">
        <v>1</v>
      </c>
    </row>
    <row r="105" spans="1:33" x14ac:dyDescent="0.3">
      <c r="A105" s="3">
        <v>2092</v>
      </c>
      <c r="B105" s="67">
        <v>10460</v>
      </c>
      <c r="C105" s="52">
        <v>0.105</v>
      </c>
      <c r="D105" s="56" t="s">
        <v>76</v>
      </c>
      <c r="E105" s="52">
        <f t="shared" si="22"/>
        <v>6.9999999999999993E-2</v>
      </c>
      <c r="F105" s="56">
        <f t="shared" si="24"/>
        <v>175</v>
      </c>
      <c r="G105" s="56">
        <v>95024.84</v>
      </c>
      <c r="H105" s="56">
        <v>8374874.5999999996</v>
      </c>
      <c r="I105" s="56">
        <v>180</v>
      </c>
      <c r="J105" s="58">
        <v>44075</v>
      </c>
      <c r="K105" s="58">
        <v>44348</v>
      </c>
      <c r="L105" s="56">
        <v>7989901.4299999997</v>
      </c>
      <c r="M105" s="66" t="s">
        <v>65</v>
      </c>
      <c r="N105" s="66" t="s">
        <v>64</v>
      </c>
      <c r="O105" s="56">
        <v>13805405.060000001</v>
      </c>
      <c r="P105" s="56">
        <v>8104047</v>
      </c>
      <c r="Q105" s="68">
        <f t="shared" si="23"/>
        <v>0.60663736874084873</v>
      </c>
      <c r="R105" s="69">
        <f t="shared" si="25"/>
        <v>0.58701986394305761</v>
      </c>
      <c r="S105" s="56">
        <v>0</v>
      </c>
      <c r="T105" s="56">
        <f t="shared" si="26"/>
        <v>5</v>
      </c>
      <c r="U105" s="56">
        <v>13805405.060000001</v>
      </c>
      <c r="V105" s="70" t="s">
        <v>124</v>
      </c>
      <c r="W105" s="56" t="b">
        <v>0</v>
      </c>
      <c r="X105" s="71">
        <f t="shared" si="27"/>
        <v>0.58701986394305761</v>
      </c>
      <c r="Y105" s="71">
        <f t="shared" si="28"/>
        <v>0.60663736874084873</v>
      </c>
      <c r="Z105" s="61">
        <f t="shared" si="29"/>
        <v>5</v>
      </c>
      <c r="AA105" s="58">
        <v>0</v>
      </c>
      <c r="AB105" s="61" t="str">
        <f t="shared" si="21"/>
        <v>No</v>
      </c>
      <c r="AG105" s="56" t="b">
        <v>1</v>
      </c>
    </row>
    <row r="106" spans="1:33" x14ac:dyDescent="0.3">
      <c r="A106" s="3">
        <v>2057</v>
      </c>
      <c r="B106" s="67">
        <v>10271</v>
      </c>
      <c r="C106" s="52">
        <v>0.1</v>
      </c>
      <c r="D106" s="56" t="s">
        <v>76</v>
      </c>
      <c r="E106" s="52">
        <f t="shared" si="22"/>
        <v>6.5000000000000002E-2</v>
      </c>
      <c r="F106" s="56">
        <f t="shared" si="24"/>
        <v>160</v>
      </c>
      <c r="G106" s="56">
        <v>197428.96</v>
      </c>
      <c r="H106" s="56">
        <v>17458916.780000001</v>
      </c>
      <c r="I106" s="56">
        <v>180</v>
      </c>
      <c r="J106" s="58">
        <v>43831</v>
      </c>
      <c r="K106" s="58">
        <v>43891</v>
      </c>
      <c r="L106" s="56">
        <v>18365099.719999999</v>
      </c>
      <c r="M106" s="66" t="s">
        <v>53</v>
      </c>
      <c r="N106" s="66" t="s">
        <v>91</v>
      </c>
      <c r="O106" s="56">
        <v>26429383</v>
      </c>
      <c r="P106" s="56">
        <v>18365100</v>
      </c>
      <c r="Q106" s="68">
        <f t="shared" si="23"/>
        <v>0.66110421904016448</v>
      </c>
      <c r="R106" s="69">
        <f t="shared" si="25"/>
        <v>0.6948743373994013</v>
      </c>
      <c r="S106" s="56">
        <v>0</v>
      </c>
      <c r="T106" s="56">
        <f t="shared" si="26"/>
        <v>20</v>
      </c>
      <c r="U106" s="56">
        <v>26408720.859999999</v>
      </c>
      <c r="V106" s="70" t="s">
        <v>124</v>
      </c>
      <c r="W106" s="56" t="b">
        <v>0</v>
      </c>
      <c r="X106" s="71">
        <f t="shared" si="27"/>
        <v>0.6948743373994013</v>
      </c>
      <c r="Y106" s="71">
        <f t="shared" si="28"/>
        <v>0.66110421904016448</v>
      </c>
      <c r="Z106" s="61">
        <f t="shared" si="29"/>
        <v>20</v>
      </c>
      <c r="AA106" s="58">
        <v>44043</v>
      </c>
      <c r="AB106" s="61" t="str">
        <f t="shared" si="21"/>
        <v>No</v>
      </c>
      <c r="AG106" s="56" t="b">
        <v>1</v>
      </c>
    </row>
    <row r="107" spans="1:33" x14ac:dyDescent="0.3">
      <c r="A107" s="3">
        <v>2059</v>
      </c>
      <c r="B107" s="67">
        <v>9807</v>
      </c>
      <c r="C107" s="52">
        <v>0.105</v>
      </c>
      <c r="D107" s="56" t="s">
        <v>76</v>
      </c>
      <c r="E107" s="52">
        <f t="shared" si="22"/>
        <v>6.9999999999999993E-2</v>
      </c>
      <c r="F107" s="56">
        <f t="shared" si="24"/>
        <v>160</v>
      </c>
      <c r="G107" s="56">
        <v>17165.79</v>
      </c>
      <c r="H107" s="56">
        <v>1479680.72</v>
      </c>
      <c r="I107" s="56">
        <v>180</v>
      </c>
      <c r="J107" s="58">
        <v>43831</v>
      </c>
      <c r="K107" s="58">
        <v>43891</v>
      </c>
      <c r="L107" s="56">
        <v>1510374.82</v>
      </c>
      <c r="M107" s="66" t="s">
        <v>53</v>
      </c>
      <c r="N107" s="66" t="s">
        <v>90</v>
      </c>
      <c r="O107" s="56">
        <v>2703674</v>
      </c>
      <c r="P107" s="56">
        <v>1530384</v>
      </c>
      <c r="Q107" s="68">
        <f t="shared" si="23"/>
        <v>0.54728518305091511</v>
      </c>
      <c r="R107" s="69">
        <f t="shared" si="25"/>
        <v>0.5660386570274375</v>
      </c>
      <c r="S107" s="56">
        <v>0</v>
      </c>
      <c r="T107" s="56">
        <f t="shared" si="26"/>
        <v>20</v>
      </c>
      <c r="U107" s="56">
        <v>2703674</v>
      </c>
      <c r="V107" s="70" t="s">
        <v>124</v>
      </c>
      <c r="W107" s="56" t="b">
        <v>0</v>
      </c>
      <c r="X107" s="71">
        <f t="shared" si="27"/>
        <v>0.5660386570274375</v>
      </c>
      <c r="Y107" s="71">
        <f t="shared" si="28"/>
        <v>0.54728518305091511</v>
      </c>
      <c r="Z107" s="61">
        <f t="shared" si="29"/>
        <v>20</v>
      </c>
      <c r="AA107" s="58">
        <v>0</v>
      </c>
      <c r="AB107" s="61" t="str">
        <f t="shared" si="21"/>
        <v>No</v>
      </c>
      <c r="AG107" s="56" t="b">
        <v>1</v>
      </c>
    </row>
    <row r="108" spans="1:33" x14ac:dyDescent="0.3">
      <c r="A108" s="3">
        <v>2024</v>
      </c>
      <c r="B108" s="67">
        <v>10369</v>
      </c>
      <c r="C108" s="52">
        <v>0.105</v>
      </c>
      <c r="D108" s="56" t="s">
        <v>76</v>
      </c>
      <c r="E108" s="52">
        <f t="shared" si="22"/>
        <v>6.9999999999999993E-2</v>
      </c>
      <c r="F108" s="56">
        <f t="shared" si="24"/>
        <v>163</v>
      </c>
      <c r="G108" s="56">
        <v>11500.48</v>
      </c>
      <c r="H108" s="56">
        <v>985514.33</v>
      </c>
      <c r="I108" s="56">
        <v>180</v>
      </c>
      <c r="J108" s="58">
        <v>43739</v>
      </c>
      <c r="K108" s="58">
        <v>43983</v>
      </c>
      <c r="L108" s="56">
        <v>953266.07</v>
      </c>
      <c r="M108" s="66" t="s">
        <v>53</v>
      </c>
      <c r="N108" s="66" t="s">
        <v>95</v>
      </c>
      <c r="O108" s="56">
        <v>1242778</v>
      </c>
      <c r="P108" s="56">
        <v>997236</v>
      </c>
      <c r="Q108" s="68">
        <f t="shared" si="23"/>
        <v>0.79299306070754383</v>
      </c>
      <c r="R108" s="69">
        <f t="shared" si="25"/>
        <v>0.80242489004472239</v>
      </c>
      <c r="S108" s="56">
        <v>0</v>
      </c>
      <c r="T108" s="56">
        <f t="shared" si="26"/>
        <v>17</v>
      </c>
      <c r="U108" s="56">
        <v>1242778</v>
      </c>
      <c r="V108" s="70" t="s">
        <v>124</v>
      </c>
      <c r="W108" s="56" t="b">
        <v>0</v>
      </c>
      <c r="X108" s="71">
        <f t="shared" si="27"/>
        <v>0.80242489004472239</v>
      </c>
      <c r="Y108" s="71">
        <f t="shared" si="28"/>
        <v>0.79299306070754383</v>
      </c>
      <c r="Z108" s="61">
        <f t="shared" si="29"/>
        <v>17</v>
      </c>
      <c r="AA108" s="58">
        <v>0</v>
      </c>
      <c r="AB108" s="61" t="str">
        <f t="shared" si="21"/>
        <v>No</v>
      </c>
      <c r="AG108" s="56" t="b">
        <v>1</v>
      </c>
    </row>
    <row r="109" spans="1:33" x14ac:dyDescent="0.3">
      <c r="A109" s="3">
        <v>2065</v>
      </c>
      <c r="B109" s="67">
        <v>10424</v>
      </c>
      <c r="C109" s="52">
        <v>9.7500000000000003E-2</v>
      </c>
      <c r="D109" s="56" t="s">
        <v>76</v>
      </c>
      <c r="E109" s="52">
        <f t="shared" si="22"/>
        <v>6.25E-2</v>
      </c>
      <c r="F109" s="56">
        <f t="shared" si="24"/>
        <v>164</v>
      </c>
      <c r="G109" s="56">
        <v>74795.960000000006</v>
      </c>
      <c r="H109" s="56">
        <v>6720967.9900000002</v>
      </c>
      <c r="I109" s="56">
        <v>180</v>
      </c>
      <c r="J109" s="58">
        <v>43862</v>
      </c>
      <c r="K109" s="58">
        <v>44013</v>
      </c>
      <c r="L109" s="56">
        <v>6803393</v>
      </c>
      <c r="M109" s="66" t="s">
        <v>67</v>
      </c>
      <c r="N109" s="66" t="s">
        <v>115</v>
      </c>
      <c r="O109" s="56">
        <v>13390636</v>
      </c>
      <c r="P109" s="56">
        <v>6947056</v>
      </c>
      <c r="Q109" s="68">
        <f t="shared" si="23"/>
        <v>0.50191551693287761</v>
      </c>
      <c r="R109" s="69">
        <f t="shared" si="25"/>
        <v>0.51879955515182397</v>
      </c>
      <c r="S109" s="56">
        <v>0</v>
      </c>
      <c r="T109" s="56">
        <f t="shared" si="26"/>
        <v>16</v>
      </c>
      <c r="U109" s="56">
        <v>13390636</v>
      </c>
      <c r="V109" s="70" t="s">
        <v>124</v>
      </c>
      <c r="W109" s="56" t="b">
        <v>0</v>
      </c>
      <c r="X109" s="71">
        <f t="shared" si="27"/>
        <v>0.51879955515182397</v>
      </c>
      <c r="Y109" s="71">
        <f t="shared" si="28"/>
        <v>0.50191551693287761</v>
      </c>
      <c r="Z109" s="61">
        <f t="shared" si="29"/>
        <v>16</v>
      </c>
      <c r="AA109" s="58">
        <v>0</v>
      </c>
      <c r="AB109" s="61" t="str">
        <f t="shared" si="21"/>
        <v>No</v>
      </c>
      <c r="AG109" s="56" t="b">
        <v>1</v>
      </c>
    </row>
    <row r="110" spans="1:33" x14ac:dyDescent="0.3">
      <c r="A110" s="3">
        <v>2069</v>
      </c>
      <c r="B110" s="67">
        <v>10233</v>
      </c>
      <c r="C110" s="52">
        <v>0.1</v>
      </c>
      <c r="D110" s="56" t="s">
        <v>76</v>
      </c>
      <c r="E110" s="52">
        <f t="shared" si="22"/>
        <v>6.5000000000000002E-2</v>
      </c>
      <c r="F110" s="56">
        <f t="shared" si="24"/>
        <v>164</v>
      </c>
      <c r="G110" s="56">
        <v>35138.57</v>
      </c>
      <c r="H110" s="56">
        <v>3125969.05</v>
      </c>
      <c r="I110" s="56">
        <v>180</v>
      </c>
      <c r="J110" s="58">
        <v>43891</v>
      </c>
      <c r="K110" s="58">
        <v>44013</v>
      </c>
      <c r="L110" s="56">
        <v>3167723.07</v>
      </c>
      <c r="M110" s="66" t="s">
        <v>73</v>
      </c>
      <c r="N110" s="66" t="s">
        <v>73</v>
      </c>
      <c r="O110" s="56">
        <v>4844398</v>
      </c>
      <c r="P110" s="56">
        <v>3185399</v>
      </c>
      <c r="Q110" s="68">
        <f t="shared" si="23"/>
        <v>0.6452750269486528</v>
      </c>
      <c r="R110" s="69">
        <f t="shared" si="25"/>
        <v>0.6575427947910143</v>
      </c>
      <c r="S110" s="56">
        <v>0</v>
      </c>
      <c r="T110" s="56">
        <f t="shared" si="26"/>
        <v>16</v>
      </c>
      <c r="U110" s="56">
        <v>4844398</v>
      </c>
      <c r="V110" s="70" t="s">
        <v>124</v>
      </c>
      <c r="W110" s="56" t="b">
        <v>0</v>
      </c>
      <c r="X110" s="71">
        <f t="shared" si="27"/>
        <v>0.6575427947910143</v>
      </c>
      <c r="Y110" s="71">
        <f t="shared" si="28"/>
        <v>0.6452750269486528</v>
      </c>
      <c r="Z110" s="61">
        <f t="shared" si="29"/>
        <v>16</v>
      </c>
      <c r="AA110" s="58">
        <v>0</v>
      </c>
      <c r="AB110" s="61" t="str">
        <f t="shared" si="21"/>
        <v>No</v>
      </c>
      <c r="AG110" s="56" t="b">
        <v>1</v>
      </c>
    </row>
    <row r="111" spans="1:33" x14ac:dyDescent="0.3">
      <c r="A111" s="3">
        <v>2076</v>
      </c>
      <c r="B111" s="67">
        <v>10440</v>
      </c>
      <c r="C111" s="52">
        <v>0.105</v>
      </c>
      <c r="D111" s="56" t="s">
        <v>76</v>
      </c>
      <c r="E111" s="52">
        <f t="shared" si="22"/>
        <v>6.9999999999999993E-2</v>
      </c>
      <c r="F111" s="56">
        <f t="shared" si="24"/>
        <v>164</v>
      </c>
      <c r="G111" s="56">
        <v>7727.82</v>
      </c>
      <c r="H111" s="56">
        <v>666212.81999999995</v>
      </c>
      <c r="I111" s="56">
        <v>180</v>
      </c>
      <c r="J111" s="58">
        <v>43891</v>
      </c>
      <c r="K111" s="58">
        <v>44013</v>
      </c>
      <c r="L111" s="56">
        <v>675949</v>
      </c>
      <c r="M111" s="66" t="s">
        <v>53</v>
      </c>
      <c r="N111" s="66" t="s">
        <v>116</v>
      </c>
      <c r="O111" s="56">
        <v>1422434</v>
      </c>
      <c r="P111" s="56">
        <v>675949</v>
      </c>
      <c r="Q111" s="68">
        <f t="shared" si="23"/>
        <v>0.46836114716043059</v>
      </c>
      <c r="R111" s="69">
        <f t="shared" si="25"/>
        <v>0.47520587949950577</v>
      </c>
      <c r="S111" s="56">
        <v>0</v>
      </c>
      <c r="T111" s="56">
        <f t="shared" si="26"/>
        <v>16</v>
      </c>
      <c r="U111" s="56">
        <v>1422434</v>
      </c>
      <c r="V111" s="70" t="s">
        <v>124</v>
      </c>
      <c r="W111" s="56" t="b">
        <v>0</v>
      </c>
      <c r="X111" s="71">
        <f t="shared" si="27"/>
        <v>0.47520587949950577</v>
      </c>
      <c r="Y111" s="71">
        <f t="shared" si="28"/>
        <v>0.46836114716043059</v>
      </c>
      <c r="Z111" s="61">
        <f t="shared" si="29"/>
        <v>16</v>
      </c>
      <c r="AA111" s="58">
        <v>0</v>
      </c>
      <c r="AB111" s="61" t="str">
        <f t="shared" si="21"/>
        <v>No</v>
      </c>
      <c r="AG111" s="56" t="b">
        <v>1</v>
      </c>
    </row>
    <row r="112" spans="1:33" ht="13.8" customHeight="1" x14ac:dyDescent="0.3">
      <c r="A112" s="3">
        <v>2078</v>
      </c>
      <c r="B112" s="67">
        <v>10443</v>
      </c>
      <c r="C112" s="52">
        <v>0.105</v>
      </c>
      <c r="D112" s="56" t="s">
        <v>76</v>
      </c>
      <c r="E112" s="52">
        <f t="shared" si="22"/>
        <v>6.9999999999999993E-2</v>
      </c>
      <c r="F112" s="56">
        <f t="shared" si="24"/>
        <v>170</v>
      </c>
      <c r="G112" s="56">
        <v>105384.57</v>
      </c>
      <c r="H112" s="56">
        <v>9136208.7899999991</v>
      </c>
      <c r="I112" s="56">
        <v>180</v>
      </c>
      <c r="J112" s="58">
        <v>43891</v>
      </c>
      <c r="K112" s="58">
        <v>44197</v>
      </c>
      <c r="L112" s="56">
        <v>8638078.5399999991</v>
      </c>
      <c r="M112" s="66" t="s">
        <v>70</v>
      </c>
      <c r="N112" s="66" t="s">
        <v>117</v>
      </c>
      <c r="O112" s="56">
        <v>16149290</v>
      </c>
      <c r="P112" s="56">
        <v>9282203</v>
      </c>
      <c r="Q112" s="68">
        <f t="shared" si="23"/>
        <v>0.56573439389595448</v>
      </c>
      <c r="R112" s="69">
        <f t="shared" si="25"/>
        <v>0.57477468049678959</v>
      </c>
      <c r="S112" s="56">
        <v>0</v>
      </c>
      <c r="T112" s="56">
        <f t="shared" si="26"/>
        <v>10</v>
      </c>
      <c r="U112" s="56">
        <v>16149290</v>
      </c>
      <c r="V112" s="70" t="s">
        <v>124</v>
      </c>
      <c r="W112" s="56" t="b">
        <v>0</v>
      </c>
      <c r="X112" s="71">
        <f t="shared" si="27"/>
        <v>0.57477468049678959</v>
      </c>
      <c r="Y112" s="71">
        <f t="shared" si="28"/>
        <v>0.56573439389595448</v>
      </c>
      <c r="Z112" s="61">
        <f t="shared" si="29"/>
        <v>10</v>
      </c>
      <c r="AA112" s="58">
        <v>44227</v>
      </c>
      <c r="AB112" s="61" t="str">
        <f t="shared" si="21"/>
        <v>No</v>
      </c>
      <c r="AG112" s="56" t="b">
        <v>1</v>
      </c>
    </row>
    <row r="113" spans="1:33" x14ac:dyDescent="0.3">
      <c r="A113" s="3">
        <v>2080</v>
      </c>
      <c r="B113" s="67">
        <v>10460</v>
      </c>
      <c r="C113" s="52">
        <v>0.105</v>
      </c>
      <c r="D113" s="56" t="s">
        <v>76</v>
      </c>
      <c r="E113" s="52">
        <f t="shared" si="22"/>
        <v>6.9999999999999993E-2</v>
      </c>
      <c r="F113" s="56">
        <f t="shared" si="24"/>
        <v>162</v>
      </c>
      <c r="G113" s="56">
        <v>23235.49</v>
      </c>
      <c r="H113" s="56">
        <v>2014427.04</v>
      </c>
      <c r="I113" s="56">
        <v>180</v>
      </c>
      <c r="J113" s="58">
        <v>43891</v>
      </c>
      <c r="K113" s="58">
        <v>43952</v>
      </c>
      <c r="L113" s="56">
        <v>2087430</v>
      </c>
      <c r="M113" s="66" t="s">
        <v>64</v>
      </c>
      <c r="N113" s="66" t="s">
        <v>118</v>
      </c>
      <c r="O113" s="56">
        <v>3312751.62</v>
      </c>
      <c r="P113" s="56">
        <v>2087430</v>
      </c>
      <c r="Q113" s="68">
        <f t="shared" si="23"/>
        <v>0.60808272731295199</v>
      </c>
      <c r="R113" s="69">
        <f t="shared" si="25"/>
        <v>0.63011968280314357</v>
      </c>
      <c r="S113" s="56">
        <v>0</v>
      </c>
      <c r="T113" s="56">
        <f t="shared" si="26"/>
        <v>18</v>
      </c>
      <c r="U113" s="56">
        <v>3312751.62</v>
      </c>
      <c r="V113" s="70" t="s">
        <v>124</v>
      </c>
      <c r="W113" s="56" t="b">
        <v>0</v>
      </c>
      <c r="X113" s="71">
        <f t="shared" si="27"/>
        <v>0.63011968280314357</v>
      </c>
      <c r="Y113" s="71">
        <f t="shared" si="28"/>
        <v>0.60808272731295199</v>
      </c>
      <c r="Z113" s="61">
        <f t="shared" si="29"/>
        <v>18</v>
      </c>
      <c r="AA113" s="58">
        <v>0</v>
      </c>
      <c r="AB113" s="61" t="str">
        <f t="shared" si="21"/>
        <v>No</v>
      </c>
      <c r="AG113" s="56" t="b">
        <v>0</v>
      </c>
    </row>
    <row r="114" spans="1:33" x14ac:dyDescent="0.3">
      <c r="A114" s="3">
        <v>1069</v>
      </c>
      <c r="B114" s="67">
        <v>8042</v>
      </c>
      <c r="C114" s="52">
        <v>0.1</v>
      </c>
      <c r="D114" s="56" t="s">
        <v>76</v>
      </c>
      <c r="E114" s="52">
        <f t="shared" si="22"/>
        <v>6.5000000000000002E-2</v>
      </c>
      <c r="F114" s="56">
        <f t="shared" si="24"/>
        <v>58</v>
      </c>
      <c r="G114" s="56">
        <v>15745.82</v>
      </c>
      <c r="H114" s="56">
        <v>666171.37</v>
      </c>
      <c r="I114" s="56">
        <v>180</v>
      </c>
      <c r="J114" s="58">
        <v>40575</v>
      </c>
      <c r="K114" s="58">
        <v>40787</v>
      </c>
      <c r="L114" s="56">
        <v>1247671</v>
      </c>
      <c r="M114" s="66" t="s">
        <v>53</v>
      </c>
      <c r="N114" s="66" t="s">
        <v>79</v>
      </c>
      <c r="O114" s="56">
        <v>3017298</v>
      </c>
      <c r="P114" s="56">
        <v>1502000</v>
      </c>
      <c r="Q114" s="68">
        <f t="shared" si="23"/>
        <v>0.17040983487398467</v>
      </c>
      <c r="R114" s="69">
        <f t="shared" si="25"/>
        <v>0.49779637278121019</v>
      </c>
      <c r="S114" s="56">
        <v>0</v>
      </c>
      <c r="T114" s="56">
        <f t="shared" si="26"/>
        <v>122</v>
      </c>
      <c r="U114" s="56">
        <v>3909230.77</v>
      </c>
      <c r="V114" s="70" t="s">
        <v>124</v>
      </c>
      <c r="W114" s="56" t="b">
        <v>1</v>
      </c>
      <c r="X114" s="71">
        <f t="shared" si="27"/>
        <v>0.49779637278121019</v>
      </c>
      <c r="Y114" s="71">
        <f t="shared" si="28"/>
        <v>0.17040983487398467</v>
      </c>
      <c r="Z114" s="61">
        <f t="shared" si="29"/>
        <v>122</v>
      </c>
      <c r="AA114" s="58">
        <v>0</v>
      </c>
      <c r="AB114" s="61" t="str">
        <f t="shared" si="21"/>
        <v>No</v>
      </c>
      <c r="AG114" s="56" t="b">
        <v>0</v>
      </c>
    </row>
    <row r="115" spans="1:33" x14ac:dyDescent="0.3">
      <c r="A115" s="3">
        <v>1349</v>
      </c>
      <c r="B115" s="67">
        <v>8855</v>
      </c>
      <c r="C115" s="52">
        <v>0.105</v>
      </c>
      <c r="D115" s="56" t="s">
        <v>76</v>
      </c>
      <c r="E115" s="52">
        <f t="shared" si="22"/>
        <v>6.9999999999999993E-2</v>
      </c>
      <c r="F115" s="56">
        <f t="shared" si="24"/>
        <v>102</v>
      </c>
      <c r="G115" s="56">
        <v>60415.33</v>
      </c>
      <c r="H115" s="56">
        <v>3767955</v>
      </c>
      <c r="I115" s="56">
        <v>180</v>
      </c>
      <c r="J115" s="58">
        <v>41699</v>
      </c>
      <c r="K115" s="58">
        <v>42125</v>
      </c>
      <c r="L115" s="56">
        <v>4737512</v>
      </c>
      <c r="M115" s="66" t="s">
        <v>53</v>
      </c>
      <c r="N115" s="66" t="s">
        <v>119</v>
      </c>
      <c r="O115" s="56">
        <v>6380824.8600000003</v>
      </c>
      <c r="P115" s="56">
        <v>4997686</v>
      </c>
      <c r="Q115" s="68">
        <f t="shared" si="23"/>
        <v>0.77902024629159816</v>
      </c>
      <c r="R115" s="69">
        <f t="shared" si="25"/>
        <v>0.78323510042242406</v>
      </c>
      <c r="S115" s="56">
        <v>0</v>
      </c>
      <c r="T115" s="56">
        <f t="shared" si="26"/>
        <v>78</v>
      </c>
      <c r="U115" s="56">
        <v>4836787</v>
      </c>
      <c r="V115" s="70" t="s">
        <v>124</v>
      </c>
      <c r="W115" s="56" t="b">
        <v>1</v>
      </c>
      <c r="X115" s="71">
        <f t="shared" si="27"/>
        <v>0.78323510042242406</v>
      </c>
      <c r="Y115" s="71">
        <f t="shared" si="28"/>
        <v>0.77902024629159816</v>
      </c>
      <c r="Z115" s="61">
        <f t="shared" si="29"/>
        <v>78</v>
      </c>
      <c r="AA115" s="58">
        <v>0</v>
      </c>
      <c r="AB115" s="61" t="str">
        <f t="shared" si="21"/>
        <v>No</v>
      </c>
      <c r="AG115" s="56" t="b">
        <v>1</v>
      </c>
    </row>
    <row r="116" spans="1:33" x14ac:dyDescent="0.3">
      <c r="A116" s="3">
        <v>2128</v>
      </c>
      <c r="B116" s="67">
        <v>10555</v>
      </c>
      <c r="C116" s="52">
        <v>0.1173</v>
      </c>
      <c r="D116" s="56" t="s">
        <v>98</v>
      </c>
      <c r="E116" s="52">
        <f t="shared" si="22"/>
        <v>8.055000000000001E-2</v>
      </c>
      <c r="F116" s="56">
        <f t="shared" si="24"/>
        <v>176</v>
      </c>
      <c r="G116" s="56">
        <v>15000</v>
      </c>
      <c r="H116" s="56">
        <v>2639476.85</v>
      </c>
      <c r="I116" s="56">
        <v>180</v>
      </c>
      <c r="J116" s="58">
        <v>44256</v>
      </c>
      <c r="K116" s="58">
        <v>44378</v>
      </c>
      <c r="L116" s="56">
        <v>2217670</v>
      </c>
      <c r="M116" s="66" t="s">
        <v>53</v>
      </c>
      <c r="N116" s="66" t="s">
        <v>60</v>
      </c>
      <c r="O116" s="56">
        <v>4154763</v>
      </c>
      <c r="P116" s="56">
        <v>2897062</v>
      </c>
      <c r="Q116" s="68">
        <f t="shared" si="23"/>
        <v>0.63528938955122116</v>
      </c>
      <c r="R116" s="69">
        <f t="shared" si="25"/>
        <v>0.69728694512779665</v>
      </c>
      <c r="S116" s="56">
        <v>0</v>
      </c>
      <c r="T116" s="56">
        <f t="shared" si="26"/>
        <v>4</v>
      </c>
      <c r="U116" s="56">
        <v>4154763</v>
      </c>
      <c r="V116" s="70" t="s">
        <v>124</v>
      </c>
      <c r="W116" s="56" t="b">
        <v>1</v>
      </c>
      <c r="X116" s="71">
        <f t="shared" si="27"/>
        <v>0.69728694512779665</v>
      </c>
      <c r="Y116" s="71">
        <f t="shared" si="28"/>
        <v>0.63528938955122116</v>
      </c>
      <c r="Z116" s="61">
        <f t="shared" si="29"/>
        <v>4</v>
      </c>
      <c r="AA116" s="58">
        <v>0</v>
      </c>
      <c r="AB116" s="61" t="str">
        <f t="shared" si="21"/>
        <v>No</v>
      </c>
      <c r="AG116" s="56" t="b">
        <v>0</v>
      </c>
    </row>
    <row r="117" spans="1:33" x14ac:dyDescent="0.3">
      <c r="A117" s="3">
        <v>2135</v>
      </c>
      <c r="B117" s="67">
        <v>10598</v>
      </c>
      <c r="C117" s="52">
        <v>0.11550000000000001</v>
      </c>
      <c r="D117" s="56" t="s">
        <v>98</v>
      </c>
      <c r="E117" s="52">
        <f t="shared" si="22"/>
        <v>7.8750000000000014E-2</v>
      </c>
      <c r="F117" s="56">
        <f t="shared" si="24"/>
        <v>178</v>
      </c>
      <c r="G117" s="56">
        <v>33730.230000000003</v>
      </c>
      <c r="H117" s="56">
        <v>2867671.28</v>
      </c>
      <c r="I117" s="56">
        <v>180</v>
      </c>
      <c r="J117" s="58">
        <v>44317</v>
      </c>
      <c r="K117" s="58">
        <v>44440</v>
      </c>
      <c r="L117" s="56">
        <v>2824547</v>
      </c>
      <c r="M117" s="66" t="s">
        <v>53</v>
      </c>
      <c r="N117" s="66" t="s">
        <v>96</v>
      </c>
      <c r="O117" s="56">
        <v>4982956</v>
      </c>
      <c r="P117" s="56">
        <v>3062401</v>
      </c>
      <c r="Q117" s="68">
        <f t="shared" si="23"/>
        <v>0.57549600678793866</v>
      </c>
      <c r="R117" s="69">
        <f t="shared" si="25"/>
        <v>0.61457516381842425</v>
      </c>
      <c r="S117" s="56">
        <v>0</v>
      </c>
      <c r="T117" s="56">
        <f t="shared" si="26"/>
        <v>2</v>
      </c>
      <c r="U117" s="56">
        <v>4982956</v>
      </c>
      <c r="V117" s="70" t="s">
        <v>124</v>
      </c>
      <c r="W117" s="56" t="b">
        <v>1</v>
      </c>
      <c r="X117" s="71">
        <f t="shared" si="27"/>
        <v>0.61457516381842425</v>
      </c>
      <c r="Y117" s="71">
        <f t="shared" si="28"/>
        <v>0.57549600678793866</v>
      </c>
      <c r="Z117" s="61">
        <f t="shared" si="29"/>
        <v>2</v>
      </c>
      <c r="AA117" s="58">
        <v>0</v>
      </c>
      <c r="AB117" s="61" t="str">
        <f t="shared" si="21"/>
        <v>No</v>
      </c>
      <c r="AG117" s="56" t="b">
        <v>0</v>
      </c>
    </row>
    <row r="118" spans="1:33" x14ac:dyDescent="0.3">
      <c r="A118" s="3">
        <v>1604</v>
      </c>
      <c r="B118" s="67">
        <v>9121</v>
      </c>
      <c r="C118" s="52">
        <v>0.105</v>
      </c>
      <c r="D118" s="56" t="s">
        <v>76</v>
      </c>
      <c r="E118" s="52">
        <f t="shared" si="22"/>
        <v>6.9999999999999993E-2</v>
      </c>
      <c r="F118" s="56">
        <f t="shared" si="24"/>
        <v>142</v>
      </c>
      <c r="G118" s="56">
        <v>115177.5</v>
      </c>
      <c r="H118" s="56">
        <v>8421707.6199999992</v>
      </c>
      <c r="I118" s="56">
        <v>180</v>
      </c>
      <c r="J118" s="58">
        <v>42522</v>
      </c>
      <c r="K118" s="58">
        <v>43344</v>
      </c>
      <c r="L118" s="56">
        <v>9834395.6899999995</v>
      </c>
      <c r="M118" s="66" t="s">
        <v>53</v>
      </c>
      <c r="N118" s="66" t="s">
        <v>120</v>
      </c>
      <c r="O118" s="56">
        <v>13642073</v>
      </c>
      <c r="P118" s="56">
        <v>9908330</v>
      </c>
      <c r="Q118" s="68">
        <f t="shared" si="23"/>
        <v>0.30119573062582039</v>
      </c>
      <c r="R118" s="69">
        <f t="shared" si="25"/>
        <v>0.72630677170544389</v>
      </c>
      <c r="S118" s="56">
        <v>0</v>
      </c>
      <c r="T118" s="56">
        <f t="shared" si="26"/>
        <v>38</v>
      </c>
      <c r="U118" s="56">
        <v>27960913</v>
      </c>
      <c r="V118" s="70" t="s">
        <v>124</v>
      </c>
      <c r="W118" s="56" t="b">
        <v>1</v>
      </c>
      <c r="X118" s="71">
        <f t="shared" si="27"/>
        <v>0.72630677170544389</v>
      </c>
      <c r="Y118" s="71">
        <f t="shared" si="28"/>
        <v>0.30119573062582039</v>
      </c>
      <c r="Z118" s="61">
        <f t="shared" si="29"/>
        <v>38</v>
      </c>
      <c r="AA118" s="58">
        <v>0</v>
      </c>
      <c r="AB118" s="61" t="str">
        <f t="shared" si="21"/>
        <v>No</v>
      </c>
      <c r="AG118" s="56" t="b">
        <v>0</v>
      </c>
    </row>
    <row r="119" spans="1:33" x14ac:dyDescent="0.3">
      <c r="A119" s="3">
        <v>1786</v>
      </c>
      <c r="B119" s="67">
        <v>7912</v>
      </c>
      <c r="C119" s="52">
        <v>0.09</v>
      </c>
      <c r="D119" s="56" t="s">
        <v>76</v>
      </c>
      <c r="E119" s="52">
        <f t="shared" si="22"/>
        <v>5.4999999999999993E-2</v>
      </c>
      <c r="F119" s="56">
        <f t="shared" si="24"/>
        <v>138</v>
      </c>
      <c r="G119" s="56">
        <v>129128.16</v>
      </c>
      <c r="H119" s="56">
        <v>11088358.470000001</v>
      </c>
      <c r="I119" s="56">
        <v>180</v>
      </c>
      <c r="J119" s="58">
        <v>43160</v>
      </c>
      <c r="K119" s="58">
        <v>43221</v>
      </c>
      <c r="L119" s="56">
        <v>11370101</v>
      </c>
      <c r="M119" s="66" t="s">
        <v>53</v>
      </c>
      <c r="N119" s="66" t="s">
        <v>53</v>
      </c>
      <c r="O119" s="56">
        <v>18808015</v>
      </c>
      <c r="P119" s="56">
        <v>11370101</v>
      </c>
      <c r="Q119" s="68">
        <f t="shared" si="23"/>
        <v>0.50367532878765298</v>
      </c>
      <c r="R119" s="69">
        <f t="shared" si="25"/>
        <v>0.60453487515827697</v>
      </c>
      <c r="S119" s="56">
        <v>0</v>
      </c>
      <c r="T119" s="56">
        <f t="shared" si="26"/>
        <v>42</v>
      </c>
      <c r="U119" s="56">
        <v>22014893</v>
      </c>
      <c r="V119" s="70" t="s">
        <v>124</v>
      </c>
      <c r="W119" s="56" t="b">
        <v>1</v>
      </c>
      <c r="X119" s="71">
        <f t="shared" si="27"/>
        <v>0.60453487515827697</v>
      </c>
      <c r="Y119" s="71">
        <f t="shared" si="28"/>
        <v>0.50367532878765298</v>
      </c>
      <c r="Z119" s="61">
        <f t="shared" si="29"/>
        <v>42</v>
      </c>
      <c r="AA119" s="58">
        <v>44286</v>
      </c>
      <c r="AB119" s="61" t="str">
        <f t="shared" si="21"/>
        <v>No</v>
      </c>
      <c r="AG119" s="56" t="b">
        <v>0</v>
      </c>
    </row>
    <row r="120" spans="1:33" x14ac:dyDescent="0.3">
      <c r="A120" s="3">
        <v>2039</v>
      </c>
      <c r="B120" s="67">
        <v>7912</v>
      </c>
      <c r="C120" s="52">
        <v>9.0500000000000011E-2</v>
      </c>
      <c r="D120" s="56" t="s">
        <v>76</v>
      </c>
      <c r="E120" s="52">
        <f t="shared" si="22"/>
        <v>5.5500000000000008E-2</v>
      </c>
      <c r="F120" s="56">
        <f t="shared" si="24"/>
        <v>158</v>
      </c>
      <c r="G120" s="56">
        <v>266639.90999999997</v>
      </c>
      <c r="H120" s="56">
        <v>36005163.890000001</v>
      </c>
      <c r="I120" s="56">
        <v>180</v>
      </c>
      <c r="J120" s="58">
        <v>43770</v>
      </c>
      <c r="K120" s="58">
        <v>43831</v>
      </c>
      <c r="L120" s="56">
        <v>36405837.510000013</v>
      </c>
      <c r="M120" s="66" t="s">
        <v>53</v>
      </c>
      <c r="N120" s="66" t="s">
        <v>53</v>
      </c>
      <c r="O120" s="56">
        <v>52185732</v>
      </c>
      <c r="P120" s="56">
        <v>31090443</v>
      </c>
      <c r="Q120" s="68">
        <f t="shared" si="23"/>
        <v>0.6968258250506979</v>
      </c>
      <c r="R120" s="69">
        <f t="shared" si="25"/>
        <v>0.59576519880951373</v>
      </c>
      <c r="S120" s="56">
        <v>0</v>
      </c>
      <c r="T120" s="56">
        <f t="shared" si="26"/>
        <v>22</v>
      </c>
      <c r="U120" s="56">
        <v>51670249</v>
      </c>
      <c r="V120" s="70" t="s">
        <v>125</v>
      </c>
      <c r="W120" s="56" t="b">
        <v>1</v>
      </c>
      <c r="X120" s="71">
        <f t="shared" si="27"/>
        <v>0.59576519880951373</v>
      </c>
      <c r="Y120" s="71">
        <f t="shared" si="28"/>
        <v>0.6968258250506979</v>
      </c>
      <c r="Z120" s="61">
        <f t="shared" si="29"/>
        <v>22</v>
      </c>
      <c r="AA120" s="58">
        <v>44834</v>
      </c>
      <c r="AB120" s="61" t="str">
        <f t="shared" si="21"/>
        <v>Yes</v>
      </c>
      <c r="AG120" s="56" t="b">
        <v>0</v>
      </c>
    </row>
    <row r="121" spans="1:33" x14ac:dyDescent="0.3">
      <c r="A121" s="3">
        <v>1149</v>
      </c>
      <c r="B121" s="67">
        <v>0</v>
      </c>
      <c r="C121" s="52">
        <v>0.1</v>
      </c>
      <c r="D121" s="56" t="s">
        <v>76</v>
      </c>
      <c r="E121" s="52">
        <f t="shared" si="22"/>
        <v>6.5000000000000002E-2</v>
      </c>
      <c r="F121" s="56">
        <f t="shared" si="24"/>
        <v>63</v>
      </c>
      <c r="G121" s="56">
        <v>9441.59</v>
      </c>
      <c r="H121" s="56">
        <v>458421.44</v>
      </c>
      <c r="I121" s="56">
        <v>180</v>
      </c>
      <c r="J121" s="58">
        <v>40848</v>
      </c>
      <c r="K121" s="58">
        <v>40940</v>
      </c>
      <c r="L121" s="56">
        <v>821000</v>
      </c>
      <c r="M121" s="66" t="s">
        <v>67</v>
      </c>
      <c r="N121" s="66" t="s">
        <v>121</v>
      </c>
      <c r="O121" s="56">
        <v>1083992</v>
      </c>
      <c r="P121" s="56">
        <v>832320</v>
      </c>
      <c r="Q121" s="68">
        <f t="shared" si="23"/>
        <v>0.54429483632736897</v>
      </c>
      <c r="R121" s="69">
        <f t="shared" si="25"/>
        <v>0.76782854486010965</v>
      </c>
      <c r="S121" s="56">
        <v>0</v>
      </c>
      <c r="T121" s="56">
        <f t="shared" si="26"/>
        <v>117</v>
      </c>
      <c r="U121" s="56">
        <v>842230</v>
      </c>
      <c r="V121" s="70" t="s">
        <v>124</v>
      </c>
      <c r="W121" s="56" t="b">
        <v>1</v>
      </c>
      <c r="X121" s="71">
        <f t="shared" si="27"/>
        <v>0.76782854486010965</v>
      </c>
      <c r="Y121" s="71">
        <f t="shared" si="28"/>
        <v>0.54429483632736897</v>
      </c>
      <c r="Z121" s="61">
        <f t="shared" si="29"/>
        <v>117</v>
      </c>
      <c r="AA121" s="58">
        <v>0</v>
      </c>
      <c r="AB121" s="61" t="str">
        <f t="shared" si="21"/>
        <v>No</v>
      </c>
      <c r="AG121" s="56" t="b">
        <v>0</v>
      </c>
    </row>
    <row r="122" spans="1:33" x14ac:dyDescent="0.3">
      <c r="A122" s="3">
        <v>1167</v>
      </c>
      <c r="B122" s="67">
        <v>8467</v>
      </c>
      <c r="C122" s="52">
        <v>0.115</v>
      </c>
      <c r="D122" s="56" t="s">
        <v>76</v>
      </c>
      <c r="E122" s="52">
        <f t="shared" si="22"/>
        <v>0.08</v>
      </c>
      <c r="F122" s="56">
        <f t="shared" si="24"/>
        <v>74</v>
      </c>
      <c r="G122" s="56">
        <v>29118.11</v>
      </c>
      <c r="H122" s="56">
        <v>1428984.05</v>
      </c>
      <c r="I122" s="56">
        <v>180</v>
      </c>
      <c r="J122" s="58">
        <v>41000</v>
      </c>
      <c r="K122" s="58">
        <v>41275</v>
      </c>
      <c r="L122" s="56">
        <v>2290257</v>
      </c>
      <c r="M122" s="66" t="s">
        <v>58</v>
      </c>
      <c r="N122" s="66" t="s">
        <v>58</v>
      </c>
      <c r="O122" s="56">
        <v>2984534</v>
      </c>
      <c r="P122" s="56">
        <v>2328042</v>
      </c>
      <c r="Q122" s="68">
        <f t="shared" si="23"/>
        <v>0.30696414844925279</v>
      </c>
      <c r="R122" s="69">
        <f t="shared" si="25"/>
        <v>0.78003534220082604</v>
      </c>
      <c r="S122" s="56">
        <v>0</v>
      </c>
      <c r="T122" s="56">
        <f t="shared" si="26"/>
        <v>106</v>
      </c>
      <c r="U122" s="56">
        <v>4655214.8099999996</v>
      </c>
      <c r="V122" s="70" t="s">
        <v>124</v>
      </c>
      <c r="W122" s="56" t="b">
        <v>1</v>
      </c>
      <c r="X122" s="71">
        <f t="shared" si="27"/>
        <v>0.78003534220082604</v>
      </c>
      <c r="Y122" s="71">
        <f t="shared" si="28"/>
        <v>0.30696414844925279</v>
      </c>
      <c r="Z122" s="61">
        <f t="shared" si="29"/>
        <v>106</v>
      </c>
      <c r="AA122" s="58">
        <v>44043</v>
      </c>
      <c r="AB122" s="61" t="str">
        <f t="shared" si="21"/>
        <v>No</v>
      </c>
      <c r="AG122" s="56" t="b">
        <v>0</v>
      </c>
    </row>
    <row r="123" spans="1:33" x14ac:dyDescent="0.3">
      <c r="A123" s="3">
        <v>1255</v>
      </c>
      <c r="B123" s="67">
        <v>0</v>
      </c>
      <c r="C123" s="52">
        <v>0.105</v>
      </c>
      <c r="D123" s="56" t="s">
        <v>76</v>
      </c>
      <c r="E123" s="52">
        <f t="shared" si="22"/>
        <v>6.9999999999999993E-2</v>
      </c>
      <c r="F123" s="56">
        <f t="shared" si="24"/>
        <v>85</v>
      </c>
      <c r="G123" s="56">
        <v>15500</v>
      </c>
      <c r="H123" s="56">
        <v>662028.99</v>
      </c>
      <c r="I123" s="56">
        <v>180</v>
      </c>
      <c r="J123" s="58">
        <v>41365</v>
      </c>
      <c r="K123" s="58">
        <v>41609</v>
      </c>
      <c r="L123" s="56">
        <v>859126.44</v>
      </c>
      <c r="M123" s="66" t="s">
        <v>71</v>
      </c>
      <c r="N123" s="66" t="s">
        <v>86</v>
      </c>
      <c r="O123" s="56">
        <v>992250.5</v>
      </c>
      <c r="P123" s="56">
        <v>718954</v>
      </c>
      <c r="Q123" s="68">
        <f t="shared" si="23"/>
        <v>0.39801110775107718</v>
      </c>
      <c r="R123" s="69">
        <f t="shared" si="25"/>
        <v>0.72456904783620668</v>
      </c>
      <c r="S123" s="56">
        <v>0</v>
      </c>
      <c r="T123" s="56">
        <f t="shared" si="26"/>
        <v>95</v>
      </c>
      <c r="U123" s="56">
        <v>1663343</v>
      </c>
      <c r="V123" s="70" t="s">
        <v>124</v>
      </c>
      <c r="W123" s="56" t="b">
        <v>1</v>
      </c>
      <c r="X123" s="71">
        <f t="shared" si="27"/>
        <v>0.72456904783620668</v>
      </c>
      <c r="Y123" s="71">
        <f t="shared" si="28"/>
        <v>0.39801110775107718</v>
      </c>
      <c r="Z123" s="61">
        <f t="shared" si="29"/>
        <v>95</v>
      </c>
      <c r="AA123" s="58">
        <v>0</v>
      </c>
      <c r="AB123" s="61" t="str">
        <f t="shared" si="21"/>
        <v>No</v>
      </c>
      <c r="AG123" s="56" t="b">
        <v>0</v>
      </c>
    </row>
    <row r="124" spans="1:33" x14ac:dyDescent="0.3">
      <c r="A124" s="3">
        <v>1264</v>
      </c>
      <c r="B124" s="67">
        <v>8465</v>
      </c>
      <c r="C124" s="52">
        <v>0.105</v>
      </c>
      <c r="D124" s="56" t="s">
        <v>76</v>
      </c>
      <c r="E124" s="52">
        <f t="shared" si="22"/>
        <v>6.9999999999999993E-2</v>
      </c>
      <c r="F124" s="56">
        <f t="shared" si="24"/>
        <v>81</v>
      </c>
      <c r="G124" s="56">
        <v>707921.68</v>
      </c>
      <c r="H124" s="56">
        <v>40858493.789999999</v>
      </c>
      <c r="I124" s="56">
        <v>180</v>
      </c>
      <c r="J124" s="58">
        <v>41426</v>
      </c>
      <c r="K124" s="58">
        <v>41487</v>
      </c>
      <c r="L124" s="56">
        <v>46418982.600000001</v>
      </c>
      <c r="M124" s="66" t="s">
        <v>53</v>
      </c>
      <c r="N124" s="66" t="s">
        <v>53</v>
      </c>
      <c r="O124" s="56">
        <v>37004000</v>
      </c>
      <c r="P124" s="56">
        <v>24575340</v>
      </c>
      <c r="Q124" s="68">
        <f t="shared" si="23"/>
        <v>0.7116442863473047</v>
      </c>
      <c r="R124" s="69">
        <f t="shared" si="25"/>
        <v>0.66412658091017185</v>
      </c>
      <c r="S124" s="56">
        <v>0</v>
      </c>
      <c r="T124" s="56">
        <f t="shared" si="26"/>
        <v>99</v>
      </c>
      <c r="U124" s="56">
        <v>57414209</v>
      </c>
      <c r="V124" s="70" t="s">
        <v>124</v>
      </c>
      <c r="W124" s="56" t="b">
        <v>1</v>
      </c>
      <c r="X124" s="71">
        <f t="shared" si="27"/>
        <v>0.66412658091017185</v>
      </c>
      <c r="Y124" s="71">
        <f t="shared" si="28"/>
        <v>0.7116442863473047</v>
      </c>
      <c r="Z124" s="61">
        <f t="shared" si="29"/>
        <v>99</v>
      </c>
      <c r="AA124" s="58">
        <v>44135</v>
      </c>
      <c r="AB124" s="61" t="str">
        <f t="shared" si="21"/>
        <v>No</v>
      </c>
      <c r="AG124" s="56" t="b">
        <v>0</v>
      </c>
    </row>
    <row r="125" spans="1:33" x14ac:dyDescent="0.3">
      <c r="A125" s="3">
        <v>1344</v>
      </c>
      <c r="B125" s="67">
        <v>8269</v>
      </c>
      <c r="C125" s="52">
        <v>0.1</v>
      </c>
      <c r="D125" s="56" t="s">
        <v>76</v>
      </c>
      <c r="E125" s="52">
        <f t="shared" si="22"/>
        <v>6.5000000000000002E-2</v>
      </c>
      <c r="F125" s="56">
        <f t="shared" si="24"/>
        <v>90</v>
      </c>
      <c r="G125" s="56">
        <v>572945.4</v>
      </c>
      <c r="H125" s="56">
        <v>36116113.219999999</v>
      </c>
      <c r="I125" s="56">
        <v>180</v>
      </c>
      <c r="J125" s="58">
        <v>41699</v>
      </c>
      <c r="K125" s="58">
        <v>41760</v>
      </c>
      <c r="L125" s="56">
        <v>49308476.549999997</v>
      </c>
      <c r="M125" s="66" t="s">
        <v>53</v>
      </c>
      <c r="N125" s="66" t="s">
        <v>79</v>
      </c>
      <c r="O125" s="56">
        <v>56097716.5</v>
      </c>
      <c r="P125" s="56">
        <v>40612299</v>
      </c>
      <c r="Q125" s="68">
        <f t="shared" si="23"/>
        <v>0.45216249729731217</v>
      </c>
      <c r="R125" s="69">
        <f t="shared" si="25"/>
        <v>0.72395636638792593</v>
      </c>
      <c r="S125" s="56">
        <v>0</v>
      </c>
      <c r="T125" s="56">
        <f t="shared" si="26"/>
        <v>90</v>
      </c>
      <c r="U125" s="56">
        <v>79874190</v>
      </c>
      <c r="V125" s="70" t="s">
        <v>124</v>
      </c>
      <c r="W125" s="56" t="b">
        <v>1</v>
      </c>
      <c r="X125" s="71">
        <f t="shared" si="27"/>
        <v>0.72395636638792593</v>
      </c>
      <c r="Y125" s="71">
        <f t="shared" si="28"/>
        <v>0.45216249729731217</v>
      </c>
      <c r="Z125" s="61">
        <f t="shared" si="29"/>
        <v>90</v>
      </c>
      <c r="AA125" s="58">
        <v>44012</v>
      </c>
      <c r="AB125" s="61" t="str">
        <f t="shared" si="21"/>
        <v>No</v>
      </c>
      <c r="AG125" s="56" t="b">
        <v>0</v>
      </c>
    </row>
    <row r="126" spans="1:33" x14ac:dyDescent="0.3">
      <c r="A126" s="3">
        <v>1359</v>
      </c>
      <c r="B126" s="67">
        <v>0</v>
      </c>
      <c r="C126" s="52">
        <v>0.105</v>
      </c>
      <c r="D126" s="56" t="s">
        <v>76</v>
      </c>
      <c r="E126" s="52">
        <f t="shared" si="22"/>
        <v>6.9999999999999993E-2</v>
      </c>
      <c r="F126" s="56">
        <f t="shared" si="24"/>
        <v>105</v>
      </c>
      <c r="G126" s="56">
        <v>6424.87</v>
      </c>
      <c r="H126" s="56">
        <v>411929.58</v>
      </c>
      <c r="I126" s="56">
        <v>180</v>
      </c>
      <c r="J126" s="58">
        <v>41760</v>
      </c>
      <c r="K126" s="58">
        <v>42217</v>
      </c>
      <c r="L126" s="56">
        <v>555000</v>
      </c>
      <c r="M126" s="66" t="s">
        <v>53</v>
      </c>
      <c r="N126" s="66" t="s">
        <v>85</v>
      </c>
      <c r="O126" s="56">
        <v>735477.65</v>
      </c>
      <c r="P126" s="56">
        <v>566475</v>
      </c>
      <c r="Q126" s="68">
        <f t="shared" si="23"/>
        <v>0.37792818261763828</v>
      </c>
      <c r="R126" s="69">
        <f t="shared" si="25"/>
        <v>0.77021375156675387</v>
      </c>
      <c r="S126" s="56">
        <v>0</v>
      </c>
      <c r="T126" s="56">
        <f t="shared" si="26"/>
        <v>75</v>
      </c>
      <c r="U126" s="56">
        <v>1089967.8799999999</v>
      </c>
      <c r="V126" s="70" t="s">
        <v>124</v>
      </c>
      <c r="W126" s="56" t="b">
        <v>1</v>
      </c>
      <c r="X126" s="71">
        <f t="shared" si="27"/>
        <v>0.77021375156675387</v>
      </c>
      <c r="Y126" s="71">
        <f t="shared" si="28"/>
        <v>0.37792818261763828</v>
      </c>
      <c r="Z126" s="61">
        <f t="shared" si="29"/>
        <v>75</v>
      </c>
      <c r="AA126" s="58">
        <v>0</v>
      </c>
      <c r="AB126" s="61" t="str">
        <f t="shared" si="21"/>
        <v>No</v>
      </c>
      <c r="AG126" s="56" t="b">
        <v>0</v>
      </c>
    </row>
    <row r="127" spans="1:33" x14ac:dyDescent="0.3">
      <c r="A127" s="3">
        <v>1598</v>
      </c>
      <c r="B127" s="67">
        <v>0</v>
      </c>
      <c r="C127" s="52">
        <v>0.11</v>
      </c>
      <c r="D127" s="56" t="s">
        <v>76</v>
      </c>
      <c r="E127" s="52">
        <f t="shared" si="22"/>
        <v>7.4999999999999997E-2</v>
      </c>
      <c r="F127" s="56">
        <f t="shared" si="24"/>
        <v>117</v>
      </c>
      <c r="G127" s="56">
        <v>33811.17</v>
      </c>
      <c r="H127" s="56">
        <v>2424022.5299999998</v>
      </c>
      <c r="I127" s="56">
        <v>180</v>
      </c>
      <c r="J127" s="58">
        <v>42491</v>
      </c>
      <c r="K127" s="58">
        <v>42583</v>
      </c>
      <c r="L127" s="56">
        <v>2864250</v>
      </c>
      <c r="M127" s="66" t="s">
        <v>53</v>
      </c>
      <c r="N127" s="66" t="s">
        <v>77</v>
      </c>
      <c r="O127" s="56">
        <v>5185998</v>
      </c>
      <c r="P127" s="56">
        <v>3732435</v>
      </c>
      <c r="Q127" s="68">
        <f t="shared" si="23"/>
        <v>0.46741678843686402</v>
      </c>
      <c r="R127" s="69">
        <f t="shared" si="25"/>
        <v>0.71971392970070558</v>
      </c>
      <c r="S127" s="56">
        <v>0</v>
      </c>
      <c r="T127" s="56">
        <f t="shared" si="26"/>
        <v>63</v>
      </c>
      <c r="U127" s="56">
        <v>5185998</v>
      </c>
      <c r="V127" s="70" t="s">
        <v>124</v>
      </c>
      <c r="W127" s="56" t="b">
        <v>1</v>
      </c>
      <c r="X127" s="71">
        <f t="shared" si="27"/>
        <v>0.71971392970070558</v>
      </c>
      <c r="Y127" s="71">
        <f t="shared" si="28"/>
        <v>0.46741678843686402</v>
      </c>
      <c r="Z127" s="61">
        <f t="shared" si="29"/>
        <v>63</v>
      </c>
      <c r="AA127" s="58">
        <v>0</v>
      </c>
      <c r="AB127" s="61" t="str">
        <f t="shared" si="21"/>
        <v>No</v>
      </c>
      <c r="AG127" s="56" t="b">
        <v>0</v>
      </c>
    </row>
    <row r="128" spans="1:33" x14ac:dyDescent="0.3">
      <c r="A128" s="3">
        <v>1635</v>
      </c>
      <c r="B128" s="67">
        <v>0</v>
      </c>
      <c r="C128" s="52">
        <v>0.115</v>
      </c>
      <c r="D128" s="56" t="s">
        <v>76</v>
      </c>
      <c r="E128" s="52">
        <f t="shared" si="22"/>
        <v>0.08</v>
      </c>
      <c r="F128" s="56">
        <f t="shared" si="24"/>
        <v>131</v>
      </c>
      <c r="G128" s="56">
        <v>11202.25</v>
      </c>
      <c r="H128" s="56">
        <v>802082.78</v>
      </c>
      <c r="I128" s="56">
        <v>180</v>
      </c>
      <c r="J128" s="58">
        <v>42644</v>
      </c>
      <c r="K128" s="58">
        <v>43009</v>
      </c>
      <c r="L128" s="56">
        <v>899016</v>
      </c>
      <c r="M128" s="66" t="s">
        <v>53</v>
      </c>
      <c r="N128" s="66" t="s">
        <v>80</v>
      </c>
      <c r="O128" s="56">
        <v>1370045.86</v>
      </c>
      <c r="P128" s="56">
        <v>896179</v>
      </c>
      <c r="Q128" s="68">
        <f t="shared" si="23"/>
        <v>0.57832026118342972</v>
      </c>
      <c r="R128" s="69">
        <f t="shared" si="25"/>
        <v>0.65412335905310492</v>
      </c>
      <c r="S128" s="56">
        <v>0</v>
      </c>
      <c r="T128" s="56">
        <f t="shared" si="26"/>
        <v>49</v>
      </c>
      <c r="U128" s="56">
        <v>1386918</v>
      </c>
      <c r="V128" s="70" t="s">
        <v>124</v>
      </c>
      <c r="W128" s="56" t="b">
        <v>1</v>
      </c>
      <c r="X128" s="71">
        <f t="shared" si="27"/>
        <v>0.65412335905310492</v>
      </c>
      <c r="Y128" s="71">
        <f t="shared" si="28"/>
        <v>0.57832026118342972</v>
      </c>
      <c r="Z128" s="61">
        <f t="shared" si="29"/>
        <v>49</v>
      </c>
      <c r="AA128" s="58">
        <v>0</v>
      </c>
      <c r="AB128" s="61" t="str">
        <f t="shared" si="21"/>
        <v>No</v>
      </c>
      <c r="AG128" s="56" t="b">
        <v>0</v>
      </c>
    </row>
    <row r="129" spans="1:33" x14ac:dyDescent="0.3">
      <c r="A129" s="3">
        <v>1678</v>
      </c>
      <c r="B129" s="67">
        <v>7996</v>
      </c>
      <c r="C129" s="52">
        <v>9.1300000000000006E-2</v>
      </c>
      <c r="D129" s="56" t="s">
        <v>76</v>
      </c>
      <c r="E129" s="52">
        <f t="shared" si="22"/>
        <v>5.6300000000000003E-2</v>
      </c>
      <c r="F129" s="56">
        <f t="shared" si="24"/>
        <v>126</v>
      </c>
      <c r="G129" s="56">
        <v>52249.34</v>
      </c>
      <c r="H129" s="56">
        <v>7000563.3499999996</v>
      </c>
      <c r="I129" s="56">
        <v>180</v>
      </c>
      <c r="J129" s="58">
        <v>42795</v>
      </c>
      <c r="K129" s="58">
        <v>42856</v>
      </c>
      <c r="L129" s="56">
        <v>6811014.6699999999</v>
      </c>
      <c r="M129" s="66" t="s">
        <v>53</v>
      </c>
      <c r="N129" s="66" t="s">
        <v>77</v>
      </c>
      <c r="O129" s="56">
        <v>11519577.68</v>
      </c>
      <c r="P129" s="56">
        <v>6885217</v>
      </c>
      <c r="Q129" s="68">
        <f t="shared" si="23"/>
        <v>0.60498212378476435</v>
      </c>
      <c r="R129" s="69">
        <f t="shared" si="25"/>
        <v>0.59769699821148303</v>
      </c>
      <c r="S129" s="56">
        <v>0</v>
      </c>
      <c r="T129" s="56">
        <f t="shared" si="26"/>
        <v>54</v>
      </c>
      <c r="U129" s="56">
        <v>11571521</v>
      </c>
      <c r="V129" s="70" t="s">
        <v>125</v>
      </c>
      <c r="W129" s="56" t="b">
        <v>1</v>
      </c>
      <c r="X129" s="71">
        <f t="shared" si="27"/>
        <v>0.59769699821148303</v>
      </c>
      <c r="Y129" s="71">
        <f t="shared" si="28"/>
        <v>0.60498212378476435</v>
      </c>
      <c r="Z129" s="61">
        <f t="shared" si="29"/>
        <v>54</v>
      </c>
      <c r="AA129" s="58">
        <v>44651</v>
      </c>
      <c r="AB129" s="61" t="str">
        <f t="shared" si="21"/>
        <v>Yes</v>
      </c>
      <c r="AG129" s="56" t="b">
        <v>0</v>
      </c>
    </row>
    <row r="130" spans="1:33" x14ac:dyDescent="0.3">
      <c r="A130" s="3">
        <v>1691</v>
      </c>
      <c r="B130" s="67">
        <v>9533</v>
      </c>
      <c r="C130" s="52">
        <v>0.115</v>
      </c>
      <c r="D130" s="56" t="s">
        <v>76</v>
      </c>
      <c r="E130" s="52">
        <f t="shared" si="22"/>
        <v>0.08</v>
      </c>
      <c r="F130" s="56">
        <f t="shared" si="24"/>
        <v>137</v>
      </c>
      <c r="G130" s="56">
        <v>19490.11</v>
      </c>
      <c r="H130" s="56">
        <v>1431729.26</v>
      </c>
      <c r="I130" s="56">
        <v>180</v>
      </c>
      <c r="J130" s="58">
        <v>42826</v>
      </c>
      <c r="K130" s="58">
        <v>43191</v>
      </c>
      <c r="L130" s="56">
        <v>1511190</v>
      </c>
      <c r="M130" s="66" t="s">
        <v>53</v>
      </c>
      <c r="N130" s="66" t="s">
        <v>90</v>
      </c>
      <c r="O130" s="56">
        <v>1547614.85</v>
      </c>
      <c r="P130" s="56">
        <v>1119596</v>
      </c>
      <c r="Q130" s="68">
        <f t="shared" si="23"/>
        <v>0.51802325901140156</v>
      </c>
      <c r="R130" s="69">
        <f t="shared" si="25"/>
        <v>0.72343322371195906</v>
      </c>
      <c r="S130" s="56">
        <v>0</v>
      </c>
      <c r="T130" s="56">
        <f t="shared" si="26"/>
        <v>43</v>
      </c>
      <c r="U130" s="56">
        <v>2763832</v>
      </c>
      <c r="V130" s="70" t="s">
        <v>124</v>
      </c>
      <c r="W130" s="56" t="b">
        <v>1</v>
      </c>
      <c r="X130" s="71">
        <f t="shared" si="27"/>
        <v>0.72343322371195906</v>
      </c>
      <c r="Y130" s="71">
        <f t="shared" si="28"/>
        <v>0.51802325901140156</v>
      </c>
      <c r="Z130" s="61">
        <f t="shared" si="29"/>
        <v>43</v>
      </c>
      <c r="AA130" s="58">
        <v>0</v>
      </c>
      <c r="AB130" s="61" t="str">
        <f t="shared" si="21"/>
        <v>No</v>
      </c>
      <c r="AG130" s="56" t="b">
        <v>0</v>
      </c>
    </row>
    <row r="131" spans="1:33" x14ac:dyDescent="0.3">
      <c r="A131" s="3">
        <v>1853</v>
      </c>
      <c r="B131" s="67">
        <v>8242</v>
      </c>
      <c r="C131" s="52">
        <v>9.7500000000000003E-2</v>
      </c>
      <c r="D131" s="56" t="s">
        <v>76</v>
      </c>
      <c r="E131" s="52">
        <f t="shared" si="22"/>
        <v>6.25E-2</v>
      </c>
      <c r="F131" s="56">
        <f t="shared" ref="F131:F162" si="30">I131-T131</f>
        <v>157</v>
      </c>
      <c r="G131" s="56">
        <v>242668.63</v>
      </c>
      <c r="H131" s="56">
        <v>30457287.52</v>
      </c>
      <c r="I131" s="56">
        <v>180</v>
      </c>
      <c r="J131" s="58">
        <v>43313</v>
      </c>
      <c r="K131" s="58">
        <v>43800</v>
      </c>
      <c r="L131" s="56">
        <v>27022765.620000001</v>
      </c>
      <c r="M131" s="66" t="s">
        <v>53</v>
      </c>
      <c r="N131" s="66" t="s">
        <v>79</v>
      </c>
      <c r="O131" s="56">
        <v>60825027</v>
      </c>
      <c r="P131" s="56">
        <v>34846920</v>
      </c>
      <c r="Q131" s="68">
        <f t="shared" si="23"/>
        <v>0.56292479484822122</v>
      </c>
      <c r="R131" s="69">
        <f t="shared" ref="R131:R162" si="31">P131/O131</f>
        <v>0.57290430795863023</v>
      </c>
      <c r="S131" s="56">
        <v>0</v>
      </c>
      <c r="T131" s="56">
        <f t="shared" ref="T131:T162" si="32">+DATEDIF(EOMONTH($K131,-1),$Z$1+1,"M")</f>
        <v>23</v>
      </c>
      <c r="U131" s="56">
        <v>54105429</v>
      </c>
      <c r="V131" s="70" t="s">
        <v>125</v>
      </c>
      <c r="W131" s="56" t="b">
        <v>1</v>
      </c>
      <c r="X131" s="71">
        <f t="shared" ref="X131:X162" si="33">+P131/O131</f>
        <v>0.57290430795863023</v>
      </c>
      <c r="Y131" s="71">
        <f t="shared" ref="Y131:Y162" si="34">+H131/U131</f>
        <v>0.56292479484822122</v>
      </c>
      <c r="Z131" s="61">
        <f t="shared" ref="Z131:Z162" si="35">+DATEDIF(EOMONTH(K131,-1),$Z$1+1,"M")</f>
        <v>23</v>
      </c>
      <c r="AA131" s="58">
        <v>45169</v>
      </c>
      <c r="AB131" s="61" t="str">
        <f t="shared" ref="AB131:AB186" si="36">IFERROR(IF(DATEDIF($Z$1+1,EOMONTH(AA131,-1),"M")&gt;0,"Yes","No"),"No")</f>
        <v>Yes</v>
      </c>
      <c r="AG131" s="56" t="b">
        <v>0</v>
      </c>
    </row>
    <row r="132" spans="1:33" x14ac:dyDescent="0.3">
      <c r="A132" s="3">
        <v>1713</v>
      </c>
      <c r="B132" s="67">
        <v>0</v>
      </c>
      <c r="C132" s="52">
        <v>0.105</v>
      </c>
      <c r="D132" s="56" t="s">
        <v>76</v>
      </c>
      <c r="E132" s="52">
        <f t="shared" ref="E132:E186" si="37">C132-IF(D132="Prime",7%-3.5%,3.675%)</f>
        <v>6.9999999999999993E-2</v>
      </c>
      <c r="F132" s="56">
        <f t="shared" si="30"/>
        <v>134</v>
      </c>
      <c r="G132" s="56">
        <v>5790.03</v>
      </c>
      <c r="H132" s="56">
        <v>449347.22</v>
      </c>
      <c r="I132" s="56">
        <v>180</v>
      </c>
      <c r="J132" s="58">
        <v>42917</v>
      </c>
      <c r="K132" s="58">
        <v>43101</v>
      </c>
      <c r="L132" s="56">
        <v>510091</v>
      </c>
      <c r="M132" s="66" t="s">
        <v>53</v>
      </c>
      <c r="N132" s="66" t="s">
        <v>85</v>
      </c>
      <c r="O132" s="56">
        <v>600246.01</v>
      </c>
      <c r="P132" s="56">
        <v>464085</v>
      </c>
      <c r="Q132" s="68">
        <f t="shared" ref="Q132:Q186" si="38">$H132/$U132</f>
        <v>0.57417520662001842</v>
      </c>
      <c r="R132" s="69">
        <f t="shared" si="31"/>
        <v>0.77315799233717519</v>
      </c>
      <c r="S132" s="56">
        <v>0</v>
      </c>
      <c r="T132" s="56">
        <f t="shared" si="32"/>
        <v>46</v>
      </c>
      <c r="U132" s="56">
        <v>782596</v>
      </c>
      <c r="V132" s="70" t="s">
        <v>124</v>
      </c>
      <c r="W132" s="56" t="b">
        <v>1</v>
      </c>
      <c r="X132" s="71">
        <f t="shared" si="33"/>
        <v>0.77315799233717519</v>
      </c>
      <c r="Y132" s="71">
        <f t="shared" si="34"/>
        <v>0.57417520662001842</v>
      </c>
      <c r="Z132" s="61">
        <f t="shared" si="35"/>
        <v>46</v>
      </c>
      <c r="AA132" s="58">
        <v>44408</v>
      </c>
      <c r="AB132" s="61" t="str">
        <f t="shared" si="36"/>
        <v>No</v>
      </c>
      <c r="AG132" s="56" t="b">
        <v>0</v>
      </c>
    </row>
    <row r="133" spans="1:33" x14ac:dyDescent="0.3">
      <c r="A133" s="3">
        <v>1719</v>
      </c>
      <c r="B133" s="67">
        <v>9465</v>
      </c>
      <c r="C133" s="52">
        <v>0.11749999999999999</v>
      </c>
      <c r="D133" s="56" t="s">
        <v>76</v>
      </c>
      <c r="E133" s="52">
        <f t="shared" si="37"/>
        <v>8.249999999999999E-2</v>
      </c>
      <c r="F133" s="56">
        <f t="shared" si="30"/>
        <v>137</v>
      </c>
      <c r="G133" s="56">
        <v>9963.99</v>
      </c>
      <c r="H133" s="56">
        <v>733025.74</v>
      </c>
      <c r="I133" s="56">
        <v>180</v>
      </c>
      <c r="J133" s="58">
        <v>42917</v>
      </c>
      <c r="K133" s="58">
        <v>43191</v>
      </c>
      <c r="L133" s="56">
        <v>773100</v>
      </c>
      <c r="M133" s="66" t="s">
        <v>53</v>
      </c>
      <c r="N133" s="66" t="s">
        <v>97</v>
      </c>
      <c r="O133" s="56">
        <v>1049061.92</v>
      </c>
      <c r="P133" s="56">
        <v>841507</v>
      </c>
      <c r="Q133" s="68">
        <f t="shared" si="38"/>
        <v>0.53126815706431385</v>
      </c>
      <c r="R133" s="69">
        <f t="shared" si="31"/>
        <v>0.80215188823172612</v>
      </c>
      <c r="S133" s="56">
        <v>0</v>
      </c>
      <c r="T133" s="56">
        <f t="shared" si="32"/>
        <v>43</v>
      </c>
      <c r="U133" s="56">
        <v>1379766</v>
      </c>
      <c r="V133" s="70" t="s">
        <v>124</v>
      </c>
      <c r="W133" s="56" t="b">
        <v>1</v>
      </c>
      <c r="X133" s="71">
        <f t="shared" si="33"/>
        <v>0.80215188823172612</v>
      </c>
      <c r="Y133" s="71">
        <f t="shared" si="34"/>
        <v>0.53126815706431385</v>
      </c>
      <c r="Z133" s="61">
        <f t="shared" si="35"/>
        <v>43</v>
      </c>
      <c r="AA133" s="58">
        <v>0</v>
      </c>
      <c r="AB133" s="61" t="str">
        <f t="shared" si="36"/>
        <v>No</v>
      </c>
      <c r="AG133" s="56" t="b">
        <v>0</v>
      </c>
    </row>
    <row r="134" spans="1:33" x14ac:dyDescent="0.3">
      <c r="A134" s="3">
        <v>1724</v>
      </c>
      <c r="B134" s="67">
        <v>9613</v>
      </c>
      <c r="C134" s="52">
        <v>0.105</v>
      </c>
      <c r="D134" s="56" t="s">
        <v>76</v>
      </c>
      <c r="E134" s="52">
        <f t="shared" si="37"/>
        <v>6.9999999999999993E-2</v>
      </c>
      <c r="F134" s="56">
        <f t="shared" si="30"/>
        <v>154</v>
      </c>
      <c r="G134" s="56">
        <v>106878.61</v>
      </c>
      <c r="H134" s="56">
        <v>8329297.7199999997</v>
      </c>
      <c r="I134" s="56">
        <v>180</v>
      </c>
      <c r="J134" s="58">
        <v>42948</v>
      </c>
      <c r="K134" s="58">
        <v>43709</v>
      </c>
      <c r="L134" s="56">
        <v>8479866.2400000002</v>
      </c>
      <c r="M134" s="66" t="s">
        <v>53</v>
      </c>
      <c r="N134" s="66" t="s">
        <v>104</v>
      </c>
      <c r="O134" s="56">
        <v>6000000</v>
      </c>
      <c r="P134" s="56">
        <v>3959516</v>
      </c>
      <c r="Q134" s="68">
        <f t="shared" si="38"/>
        <v>0.70850514500614437</v>
      </c>
      <c r="R134" s="69">
        <f t="shared" si="31"/>
        <v>0.6599193333333333</v>
      </c>
      <c r="S134" s="56">
        <v>0</v>
      </c>
      <c r="T134" s="56">
        <f t="shared" si="32"/>
        <v>26</v>
      </c>
      <c r="U134" s="56">
        <v>11756157</v>
      </c>
      <c r="V134" s="70" t="s">
        <v>124</v>
      </c>
      <c r="W134" s="56" t="b">
        <v>1</v>
      </c>
      <c r="X134" s="71">
        <f t="shared" si="33"/>
        <v>0.6599193333333333</v>
      </c>
      <c r="Y134" s="71">
        <f t="shared" si="34"/>
        <v>0.70850514500614437</v>
      </c>
      <c r="Z134" s="61">
        <f t="shared" si="35"/>
        <v>26</v>
      </c>
      <c r="AA134" s="58">
        <v>44227</v>
      </c>
      <c r="AB134" s="61" t="str">
        <f t="shared" si="36"/>
        <v>No</v>
      </c>
      <c r="AG134" s="56" t="b">
        <v>0</v>
      </c>
    </row>
    <row r="135" spans="1:33" x14ac:dyDescent="0.3">
      <c r="A135" s="3">
        <v>2117</v>
      </c>
      <c r="B135" s="67">
        <v>8516</v>
      </c>
      <c r="C135" s="52">
        <v>0.115</v>
      </c>
      <c r="D135" s="56" t="s">
        <v>76</v>
      </c>
      <c r="E135" s="52">
        <f t="shared" si="37"/>
        <v>0.08</v>
      </c>
      <c r="F135" s="56">
        <f t="shared" si="30"/>
        <v>178</v>
      </c>
      <c r="G135" s="56">
        <v>12417.02</v>
      </c>
      <c r="H135" s="56">
        <v>1128151.1310000001</v>
      </c>
      <c r="I135" s="56">
        <v>180</v>
      </c>
      <c r="J135" s="58">
        <v>44228</v>
      </c>
      <c r="K135" s="58">
        <v>44440</v>
      </c>
      <c r="L135" s="56">
        <v>1009528.53</v>
      </c>
      <c r="M135" s="66" t="s">
        <v>53</v>
      </c>
      <c r="N135" s="66" t="s">
        <v>80</v>
      </c>
      <c r="O135" s="56">
        <v>2488158</v>
      </c>
      <c r="P135" s="56">
        <v>1354823</v>
      </c>
      <c r="Q135" s="68">
        <f t="shared" si="38"/>
        <v>0.4534081561540706</v>
      </c>
      <c r="R135" s="69">
        <f t="shared" si="31"/>
        <v>0.54450842751947426</v>
      </c>
      <c r="S135" s="56">
        <v>0</v>
      </c>
      <c r="T135" s="56">
        <f t="shared" si="32"/>
        <v>2</v>
      </c>
      <c r="U135" s="56">
        <v>2488158</v>
      </c>
      <c r="V135" s="70" t="s">
        <v>124</v>
      </c>
      <c r="W135" s="56" t="b">
        <v>1</v>
      </c>
      <c r="X135" s="71">
        <f t="shared" si="33"/>
        <v>0.54450842751947426</v>
      </c>
      <c r="Y135" s="71">
        <f t="shared" si="34"/>
        <v>0.4534081561540706</v>
      </c>
      <c r="Z135" s="61">
        <f t="shared" si="35"/>
        <v>2</v>
      </c>
      <c r="AA135" s="58">
        <v>0</v>
      </c>
      <c r="AB135" s="61" t="str">
        <f t="shared" si="36"/>
        <v>No</v>
      </c>
      <c r="AG135" s="56" t="b">
        <v>0</v>
      </c>
    </row>
    <row r="136" spans="1:33" x14ac:dyDescent="0.3">
      <c r="A136" s="3">
        <v>1875</v>
      </c>
      <c r="B136" s="67">
        <v>9642</v>
      </c>
      <c r="C136" s="52">
        <v>0.105</v>
      </c>
      <c r="D136" s="56" t="s">
        <v>76</v>
      </c>
      <c r="E136" s="52">
        <f t="shared" si="37"/>
        <v>6.9999999999999993E-2</v>
      </c>
      <c r="F136" s="56">
        <f t="shared" si="30"/>
        <v>146</v>
      </c>
      <c r="G136" s="56">
        <v>13883.76</v>
      </c>
      <c r="H136" s="56">
        <v>1141009.8899999999</v>
      </c>
      <c r="I136" s="56">
        <v>180</v>
      </c>
      <c r="J136" s="58">
        <v>43374</v>
      </c>
      <c r="K136" s="58">
        <v>43466</v>
      </c>
      <c r="L136" s="56">
        <v>1220039</v>
      </c>
      <c r="M136" s="66" t="s">
        <v>53</v>
      </c>
      <c r="N136" s="66" t="s">
        <v>99</v>
      </c>
      <c r="O136" s="56">
        <v>1851241.58</v>
      </c>
      <c r="P136" s="56">
        <v>1336535</v>
      </c>
      <c r="Q136" s="68">
        <f t="shared" si="38"/>
        <v>0.61634845626144585</v>
      </c>
      <c r="R136" s="69">
        <f t="shared" si="31"/>
        <v>0.72196682185584871</v>
      </c>
      <c r="S136" s="56">
        <v>0</v>
      </c>
      <c r="T136" s="56">
        <f t="shared" si="32"/>
        <v>34</v>
      </c>
      <c r="U136" s="56">
        <v>1851241.58</v>
      </c>
      <c r="V136" s="70" t="s">
        <v>124</v>
      </c>
      <c r="W136" s="56" t="b">
        <v>1</v>
      </c>
      <c r="X136" s="71">
        <f t="shared" si="33"/>
        <v>0.72196682185584871</v>
      </c>
      <c r="Y136" s="71">
        <f t="shared" si="34"/>
        <v>0.61634845626144585</v>
      </c>
      <c r="Z136" s="61">
        <f t="shared" si="35"/>
        <v>34</v>
      </c>
      <c r="AA136" s="58">
        <v>0</v>
      </c>
      <c r="AB136" s="61" t="str">
        <f t="shared" si="36"/>
        <v>No</v>
      </c>
      <c r="AG136" s="56" t="b">
        <v>0</v>
      </c>
    </row>
    <row r="137" spans="1:33" x14ac:dyDescent="0.3">
      <c r="A137" s="3">
        <v>1897</v>
      </c>
      <c r="B137" s="67">
        <v>7996</v>
      </c>
      <c r="C137" s="52">
        <v>9.7500000000000003E-2</v>
      </c>
      <c r="D137" s="56" t="s">
        <v>76</v>
      </c>
      <c r="E137" s="52">
        <f t="shared" si="37"/>
        <v>6.25E-2</v>
      </c>
      <c r="F137" s="56">
        <f t="shared" si="30"/>
        <v>153</v>
      </c>
      <c r="G137" s="56">
        <v>122701.43</v>
      </c>
      <c r="H137" s="56">
        <v>15400230.51</v>
      </c>
      <c r="I137" s="56">
        <v>180</v>
      </c>
      <c r="J137" s="58">
        <v>43435</v>
      </c>
      <c r="K137" s="58">
        <v>43678</v>
      </c>
      <c r="L137" s="56">
        <v>14076854.390000001</v>
      </c>
      <c r="M137" s="66" t="s">
        <v>53</v>
      </c>
      <c r="N137" s="66" t="s">
        <v>77</v>
      </c>
      <c r="O137" s="56">
        <v>19569909</v>
      </c>
      <c r="P137" s="56">
        <v>15408458</v>
      </c>
      <c r="Q137" s="68">
        <f t="shared" si="38"/>
        <v>0.74301432297886005</v>
      </c>
      <c r="R137" s="69">
        <f t="shared" si="31"/>
        <v>0.78735460650328015</v>
      </c>
      <c r="S137" s="56">
        <v>0</v>
      </c>
      <c r="T137" s="56">
        <f t="shared" si="32"/>
        <v>27</v>
      </c>
      <c r="U137" s="56">
        <v>20726694</v>
      </c>
      <c r="V137" s="70" t="s">
        <v>125</v>
      </c>
      <c r="W137" s="56" t="b">
        <v>1</v>
      </c>
      <c r="X137" s="71">
        <f t="shared" si="33"/>
        <v>0.78735460650328015</v>
      </c>
      <c r="Y137" s="71">
        <f t="shared" si="34"/>
        <v>0.74301432297886005</v>
      </c>
      <c r="Z137" s="61">
        <f t="shared" si="35"/>
        <v>27</v>
      </c>
      <c r="AA137" s="58">
        <v>45565</v>
      </c>
      <c r="AB137" s="61" t="str">
        <f t="shared" si="36"/>
        <v>Yes</v>
      </c>
      <c r="AG137" s="56" t="b">
        <v>0</v>
      </c>
    </row>
    <row r="138" spans="1:33" x14ac:dyDescent="0.3">
      <c r="A138" s="3">
        <v>1899</v>
      </c>
      <c r="B138" s="67">
        <v>7996</v>
      </c>
      <c r="C138" s="52">
        <v>9.5000000000000001E-2</v>
      </c>
      <c r="D138" s="56" t="s">
        <v>76</v>
      </c>
      <c r="E138" s="52">
        <f t="shared" si="37"/>
        <v>0.06</v>
      </c>
      <c r="F138" s="56">
        <f t="shared" si="30"/>
        <v>159</v>
      </c>
      <c r="G138" s="56">
        <v>160810</v>
      </c>
      <c r="H138" s="56">
        <v>20711305.539999999</v>
      </c>
      <c r="I138" s="56">
        <v>180</v>
      </c>
      <c r="J138" s="58">
        <v>43435</v>
      </c>
      <c r="K138" s="58">
        <v>43862</v>
      </c>
      <c r="L138" s="56">
        <v>25572211</v>
      </c>
      <c r="M138" s="66" t="s">
        <v>53</v>
      </c>
      <c r="N138" s="66" t="s">
        <v>104</v>
      </c>
      <c r="O138" s="56">
        <v>29612366</v>
      </c>
      <c r="P138" s="56">
        <v>20419697.620000001</v>
      </c>
      <c r="Q138" s="68">
        <f t="shared" si="38"/>
        <v>0.69941388488474443</v>
      </c>
      <c r="R138" s="69">
        <f t="shared" si="31"/>
        <v>0.68956656891246049</v>
      </c>
      <c r="S138" s="56">
        <v>0</v>
      </c>
      <c r="T138" s="56">
        <f t="shared" si="32"/>
        <v>21</v>
      </c>
      <c r="U138" s="56">
        <v>29612374</v>
      </c>
      <c r="V138" s="70" t="s">
        <v>125</v>
      </c>
      <c r="W138" s="56" t="b">
        <v>1</v>
      </c>
      <c r="X138" s="71">
        <f t="shared" si="33"/>
        <v>0.68956656891246049</v>
      </c>
      <c r="Y138" s="71">
        <f t="shared" si="34"/>
        <v>0.69941388488474443</v>
      </c>
      <c r="Z138" s="61">
        <f t="shared" si="35"/>
        <v>21</v>
      </c>
      <c r="AA138" s="58">
        <v>44926</v>
      </c>
      <c r="AB138" s="61" t="str">
        <f t="shared" si="36"/>
        <v>Yes</v>
      </c>
      <c r="AG138" s="56" t="b">
        <v>0</v>
      </c>
    </row>
    <row r="139" spans="1:33" x14ac:dyDescent="0.3">
      <c r="A139" s="3">
        <v>1902</v>
      </c>
      <c r="B139" s="67">
        <v>10015</v>
      </c>
      <c r="C139" s="52">
        <v>0.105</v>
      </c>
      <c r="D139" s="56" t="s">
        <v>76</v>
      </c>
      <c r="E139" s="52">
        <f t="shared" si="37"/>
        <v>6.9999999999999993E-2</v>
      </c>
      <c r="F139" s="56">
        <f t="shared" si="30"/>
        <v>147</v>
      </c>
      <c r="G139" s="56">
        <v>44128.38</v>
      </c>
      <c r="H139" s="56">
        <v>3652110.52</v>
      </c>
      <c r="I139" s="56">
        <v>180</v>
      </c>
      <c r="J139" s="58">
        <v>43435</v>
      </c>
      <c r="K139" s="58">
        <v>43497</v>
      </c>
      <c r="L139" s="56">
        <v>3891073.65</v>
      </c>
      <c r="M139" s="66" t="s">
        <v>71</v>
      </c>
      <c r="N139" s="66" t="s">
        <v>82</v>
      </c>
      <c r="O139" s="56">
        <v>6205438</v>
      </c>
      <c r="P139" s="56">
        <v>4431900</v>
      </c>
      <c r="Q139" s="68">
        <f t="shared" si="38"/>
        <v>0.58853388270094709</v>
      </c>
      <c r="R139" s="69">
        <f t="shared" si="31"/>
        <v>0.71419616149577192</v>
      </c>
      <c r="S139" s="56">
        <v>0</v>
      </c>
      <c r="T139" s="56">
        <f t="shared" si="32"/>
        <v>33</v>
      </c>
      <c r="U139" s="56">
        <v>6205438</v>
      </c>
      <c r="V139" s="70" t="s">
        <v>124</v>
      </c>
      <c r="W139" s="56" t="b">
        <v>1</v>
      </c>
      <c r="X139" s="71">
        <f t="shared" si="33"/>
        <v>0.71419616149577192</v>
      </c>
      <c r="Y139" s="71">
        <f t="shared" si="34"/>
        <v>0.58853388270094709</v>
      </c>
      <c r="Z139" s="61">
        <f t="shared" si="35"/>
        <v>33</v>
      </c>
      <c r="AA139" s="58">
        <v>0</v>
      </c>
      <c r="AB139" s="61" t="str">
        <f t="shared" si="36"/>
        <v>No</v>
      </c>
      <c r="AG139" s="56" t="b">
        <v>0</v>
      </c>
    </row>
    <row r="140" spans="1:33" x14ac:dyDescent="0.3">
      <c r="A140" s="3">
        <v>1903</v>
      </c>
      <c r="B140" s="67">
        <v>10029</v>
      </c>
      <c r="C140" s="52">
        <v>0.115</v>
      </c>
      <c r="D140" s="56" t="s">
        <v>76</v>
      </c>
      <c r="E140" s="52">
        <f t="shared" si="37"/>
        <v>0.08</v>
      </c>
      <c r="F140" s="56">
        <f t="shared" si="30"/>
        <v>155</v>
      </c>
      <c r="G140" s="56">
        <v>23447.64</v>
      </c>
      <c r="H140" s="56">
        <v>1850970.06</v>
      </c>
      <c r="I140" s="56">
        <v>180</v>
      </c>
      <c r="J140" s="58">
        <v>43435</v>
      </c>
      <c r="K140" s="58">
        <v>43739</v>
      </c>
      <c r="L140" s="56">
        <v>1838849.6</v>
      </c>
      <c r="M140" s="66" t="s">
        <v>53</v>
      </c>
      <c r="N140" s="66" t="s">
        <v>80</v>
      </c>
      <c r="O140" s="56">
        <v>2950994</v>
      </c>
      <c r="P140" s="56">
        <v>1647341</v>
      </c>
      <c r="Q140" s="68">
        <f t="shared" si="38"/>
        <v>0.60826666500165627</v>
      </c>
      <c r="R140" s="69">
        <f t="shared" si="31"/>
        <v>0.55823258197068515</v>
      </c>
      <c r="S140" s="56">
        <v>0</v>
      </c>
      <c r="T140" s="56">
        <f t="shared" si="32"/>
        <v>25</v>
      </c>
      <c r="U140" s="56">
        <v>3043024</v>
      </c>
      <c r="V140" s="70" t="s">
        <v>124</v>
      </c>
      <c r="W140" s="56" t="b">
        <v>1</v>
      </c>
      <c r="X140" s="71">
        <f t="shared" si="33"/>
        <v>0.55823258197068515</v>
      </c>
      <c r="Y140" s="71">
        <f t="shared" si="34"/>
        <v>0.60826666500165627</v>
      </c>
      <c r="Z140" s="61">
        <f t="shared" si="35"/>
        <v>25</v>
      </c>
      <c r="AA140" s="58">
        <v>44135</v>
      </c>
      <c r="AB140" s="61" t="str">
        <f t="shared" si="36"/>
        <v>No</v>
      </c>
      <c r="AG140" s="56" t="b">
        <v>0</v>
      </c>
    </row>
    <row r="141" spans="1:33" x14ac:dyDescent="0.3">
      <c r="A141" s="3">
        <v>1931</v>
      </c>
      <c r="B141" s="67">
        <v>10038</v>
      </c>
      <c r="C141" s="52">
        <v>0.105</v>
      </c>
      <c r="D141" s="56" t="s">
        <v>76</v>
      </c>
      <c r="E141" s="52">
        <f t="shared" si="37"/>
        <v>6.9999999999999993E-2</v>
      </c>
      <c r="F141" s="56">
        <f t="shared" si="30"/>
        <v>167</v>
      </c>
      <c r="G141" s="56">
        <v>63316.58</v>
      </c>
      <c r="H141" s="56">
        <v>5292171.55</v>
      </c>
      <c r="I141" s="56">
        <v>180</v>
      </c>
      <c r="J141" s="58">
        <v>43525</v>
      </c>
      <c r="K141" s="58">
        <v>44105</v>
      </c>
      <c r="L141" s="56">
        <v>4929475.5500000007</v>
      </c>
      <c r="M141" s="66" t="s">
        <v>67</v>
      </c>
      <c r="N141" s="66" t="s">
        <v>106</v>
      </c>
      <c r="O141" s="56">
        <v>10075233</v>
      </c>
      <c r="P141" s="56">
        <v>5382648</v>
      </c>
      <c r="Q141" s="68">
        <f t="shared" si="38"/>
        <v>0.52526542562340739</v>
      </c>
      <c r="R141" s="69">
        <f t="shared" si="31"/>
        <v>0.53424551074898219</v>
      </c>
      <c r="S141" s="56">
        <v>0</v>
      </c>
      <c r="T141" s="56">
        <f t="shared" si="32"/>
        <v>13</v>
      </c>
      <c r="U141" s="56">
        <v>10075233</v>
      </c>
      <c r="V141" s="70" t="s">
        <v>124</v>
      </c>
      <c r="W141" s="56" t="b">
        <v>1</v>
      </c>
      <c r="X141" s="71">
        <f t="shared" si="33"/>
        <v>0.53424551074898219</v>
      </c>
      <c r="Y141" s="71">
        <f t="shared" si="34"/>
        <v>0.52526542562340739</v>
      </c>
      <c r="Z141" s="61">
        <f t="shared" si="35"/>
        <v>13</v>
      </c>
      <c r="AA141" s="58">
        <v>0</v>
      </c>
      <c r="AB141" s="61" t="str">
        <f t="shared" si="36"/>
        <v>No</v>
      </c>
      <c r="AG141" s="56" t="b">
        <v>0</v>
      </c>
    </row>
    <row r="142" spans="1:33" x14ac:dyDescent="0.3">
      <c r="A142" s="3">
        <v>1944</v>
      </c>
      <c r="B142" s="67">
        <v>10078</v>
      </c>
      <c r="C142" s="52">
        <v>0.115</v>
      </c>
      <c r="D142" s="56" t="s">
        <v>76</v>
      </c>
      <c r="E142" s="52">
        <f t="shared" si="37"/>
        <v>0.08</v>
      </c>
      <c r="F142" s="56">
        <f t="shared" si="30"/>
        <v>161</v>
      </c>
      <c r="G142" s="56">
        <v>18714.759999999998</v>
      </c>
      <c r="H142" s="56">
        <v>1981399.3230000001</v>
      </c>
      <c r="I142" s="56">
        <v>180</v>
      </c>
      <c r="J142" s="58">
        <v>43556</v>
      </c>
      <c r="K142" s="58">
        <v>43922</v>
      </c>
      <c r="L142" s="56">
        <v>1997345.15</v>
      </c>
      <c r="M142" s="66" t="s">
        <v>53</v>
      </c>
      <c r="N142" s="66" t="s">
        <v>90</v>
      </c>
      <c r="O142" s="56">
        <v>1579306</v>
      </c>
      <c r="P142" s="56">
        <v>1269580</v>
      </c>
      <c r="Q142" s="68">
        <f t="shared" si="38"/>
        <v>0.62842254691048738</v>
      </c>
      <c r="R142" s="69">
        <f t="shared" si="31"/>
        <v>0.80388474431174195</v>
      </c>
      <c r="S142" s="56">
        <v>0</v>
      </c>
      <c r="T142" s="56">
        <f t="shared" si="32"/>
        <v>19</v>
      </c>
      <c r="U142" s="56">
        <v>3152973</v>
      </c>
      <c r="V142" s="70" t="s">
        <v>125</v>
      </c>
      <c r="W142" s="56" t="b">
        <v>1</v>
      </c>
      <c r="X142" s="71">
        <f t="shared" si="33"/>
        <v>0.80388474431174195</v>
      </c>
      <c r="Y142" s="71">
        <f t="shared" si="34"/>
        <v>0.62842254691048738</v>
      </c>
      <c r="Z142" s="61">
        <f t="shared" si="35"/>
        <v>19</v>
      </c>
      <c r="AA142" s="58">
        <v>44530</v>
      </c>
      <c r="AB142" s="61" t="str">
        <f t="shared" si="36"/>
        <v>No</v>
      </c>
      <c r="AG142" s="56" t="b">
        <v>0</v>
      </c>
    </row>
    <row r="143" spans="1:33" x14ac:dyDescent="0.3">
      <c r="A143" s="3">
        <v>1948</v>
      </c>
      <c r="B143" s="67">
        <v>10102</v>
      </c>
      <c r="C143" s="52">
        <v>9.7500000000000003E-2</v>
      </c>
      <c r="D143" s="56" t="s">
        <v>76</v>
      </c>
      <c r="E143" s="52">
        <f t="shared" si="37"/>
        <v>6.25E-2</v>
      </c>
      <c r="F143" s="56">
        <f t="shared" si="30"/>
        <v>152</v>
      </c>
      <c r="G143" s="56">
        <v>57640.54</v>
      </c>
      <c r="H143" s="56">
        <v>5031592.13</v>
      </c>
      <c r="I143" s="56">
        <v>180</v>
      </c>
      <c r="J143" s="58">
        <v>43586</v>
      </c>
      <c r="K143" s="58">
        <v>43647</v>
      </c>
      <c r="L143" s="56">
        <v>5379581.75</v>
      </c>
      <c r="M143" s="66" t="s">
        <v>67</v>
      </c>
      <c r="N143" s="66" t="s">
        <v>122</v>
      </c>
      <c r="O143" s="56">
        <v>6773267</v>
      </c>
      <c r="P143" s="56">
        <v>5379582</v>
      </c>
      <c r="Q143" s="68">
        <f t="shared" si="38"/>
        <v>0.74286044385966177</v>
      </c>
      <c r="R143" s="69">
        <f t="shared" si="31"/>
        <v>0.79423740419505096</v>
      </c>
      <c r="S143" s="56">
        <v>0</v>
      </c>
      <c r="T143" s="56">
        <f t="shared" si="32"/>
        <v>28</v>
      </c>
      <c r="U143" s="56">
        <v>6773267</v>
      </c>
      <c r="V143" s="70" t="s">
        <v>124</v>
      </c>
      <c r="W143" s="56" t="b">
        <v>1</v>
      </c>
      <c r="X143" s="71">
        <f t="shared" si="33"/>
        <v>0.79423740419505096</v>
      </c>
      <c r="Y143" s="71">
        <f t="shared" si="34"/>
        <v>0.74286044385966177</v>
      </c>
      <c r="Z143" s="61">
        <f t="shared" si="35"/>
        <v>28</v>
      </c>
      <c r="AA143" s="58">
        <v>0</v>
      </c>
      <c r="AB143" s="61" t="str">
        <f t="shared" si="36"/>
        <v>No</v>
      </c>
      <c r="AG143" s="56" t="b">
        <v>0</v>
      </c>
    </row>
    <row r="144" spans="1:33" x14ac:dyDescent="0.3">
      <c r="A144" s="3">
        <v>1959</v>
      </c>
      <c r="B144" s="67">
        <v>10093</v>
      </c>
      <c r="C144" s="52">
        <v>9.98E-2</v>
      </c>
      <c r="D144" s="56" t="s">
        <v>76</v>
      </c>
      <c r="E144" s="52">
        <f t="shared" si="37"/>
        <v>6.4799999999999996E-2</v>
      </c>
      <c r="F144" s="56">
        <f t="shared" si="30"/>
        <v>153</v>
      </c>
      <c r="G144" s="56">
        <v>41334.86</v>
      </c>
      <c r="H144" s="56">
        <v>3578469.17</v>
      </c>
      <c r="I144" s="56">
        <v>180</v>
      </c>
      <c r="J144" s="58">
        <v>43586</v>
      </c>
      <c r="K144" s="58">
        <v>43678</v>
      </c>
      <c r="L144" s="56">
        <v>3748363</v>
      </c>
      <c r="M144" s="66" t="s">
        <v>72</v>
      </c>
      <c r="N144" s="66" t="s">
        <v>82</v>
      </c>
      <c r="O144" s="56">
        <v>5750000</v>
      </c>
      <c r="P144" s="56">
        <v>3748363</v>
      </c>
      <c r="Q144" s="68">
        <f t="shared" si="38"/>
        <v>0.62234246434782603</v>
      </c>
      <c r="R144" s="69">
        <f t="shared" si="31"/>
        <v>0.65188921739130434</v>
      </c>
      <c r="S144" s="56">
        <v>0</v>
      </c>
      <c r="T144" s="56">
        <f t="shared" si="32"/>
        <v>27</v>
      </c>
      <c r="U144" s="56">
        <v>5750000</v>
      </c>
      <c r="V144" s="70" t="s">
        <v>124</v>
      </c>
      <c r="W144" s="56" t="b">
        <v>1</v>
      </c>
      <c r="X144" s="71">
        <f t="shared" si="33"/>
        <v>0.65188921739130434</v>
      </c>
      <c r="Y144" s="71">
        <f t="shared" si="34"/>
        <v>0.62234246434782603</v>
      </c>
      <c r="Z144" s="61">
        <f t="shared" si="35"/>
        <v>27</v>
      </c>
      <c r="AA144" s="58">
        <v>43890</v>
      </c>
      <c r="AB144" s="61" t="str">
        <f t="shared" si="36"/>
        <v>No</v>
      </c>
      <c r="AG144" s="56" t="b">
        <v>0</v>
      </c>
    </row>
    <row r="145" spans="1:33" x14ac:dyDescent="0.3">
      <c r="A145" s="3">
        <v>1971</v>
      </c>
      <c r="B145" s="67">
        <v>9948</v>
      </c>
      <c r="C145" s="52">
        <v>0.105</v>
      </c>
      <c r="D145" s="56" t="s">
        <v>76</v>
      </c>
      <c r="E145" s="52">
        <f t="shared" si="37"/>
        <v>6.9999999999999993E-2</v>
      </c>
      <c r="F145" s="56">
        <f t="shared" si="30"/>
        <v>160</v>
      </c>
      <c r="G145" s="56">
        <v>70870.149999999994</v>
      </c>
      <c r="H145" s="56">
        <v>5998006.8099999996</v>
      </c>
      <c r="I145" s="56">
        <v>180</v>
      </c>
      <c r="J145" s="58">
        <v>43647</v>
      </c>
      <c r="K145" s="58">
        <v>43891</v>
      </c>
      <c r="L145" s="56">
        <v>6027098</v>
      </c>
      <c r="M145" s="66" t="s">
        <v>55</v>
      </c>
      <c r="N145" s="66" t="s">
        <v>55</v>
      </c>
      <c r="O145" s="56">
        <v>9080181</v>
      </c>
      <c r="P145" s="56">
        <v>6294185</v>
      </c>
      <c r="Q145" s="68">
        <f t="shared" si="38"/>
        <v>0.53627712308997466</v>
      </c>
      <c r="R145" s="69">
        <f t="shared" si="31"/>
        <v>0.69317836285422063</v>
      </c>
      <c r="S145" s="56">
        <v>0</v>
      </c>
      <c r="T145" s="56">
        <f t="shared" si="32"/>
        <v>20</v>
      </c>
      <c r="U145" s="56">
        <v>11184528.58</v>
      </c>
      <c r="V145" s="70" t="s">
        <v>124</v>
      </c>
      <c r="W145" s="56" t="b">
        <v>1</v>
      </c>
      <c r="X145" s="71">
        <f t="shared" si="33"/>
        <v>0.69317836285422063</v>
      </c>
      <c r="Y145" s="71">
        <f t="shared" si="34"/>
        <v>0.53627712308997466</v>
      </c>
      <c r="Z145" s="61">
        <f t="shared" si="35"/>
        <v>20</v>
      </c>
      <c r="AA145" s="58">
        <v>44104</v>
      </c>
      <c r="AB145" s="61" t="str">
        <f t="shared" si="36"/>
        <v>No</v>
      </c>
      <c r="AG145" s="56" t="b">
        <v>0</v>
      </c>
    </row>
    <row r="146" spans="1:33" x14ac:dyDescent="0.3">
      <c r="A146" s="3">
        <v>1973</v>
      </c>
      <c r="B146" s="67">
        <v>10064</v>
      </c>
      <c r="C146" s="52">
        <v>0.105</v>
      </c>
      <c r="D146" s="56" t="s">
        <v>76</v>
      </c>
      <c r="E146" s="52">
        <f t="shared" si="37"/>
        <v>6.9999999999999993E-2</v>
      </c>
      <c r="F146" s="56">
        <f t="shared" si="30"/>
        <v>154</v>
      </c>
      <c r="G146" s="56">
        <v>23453.4</v>
      </c>
      <c r="H146" s="56">
        <v>1983653.35</v>
      </c>
      <c r="I146" s="56">
        <v>180</v>
      </c>
      <c r="J146" s="58">
        <v>43647</v>
      </c>
      <c r="K146" s="58">
        <v>43709</v>
      </c>
      <c r="L146" s="56">
        <v>2083860</v>
      </c>
      <c r="M146" s="66" t="s">
        <v>53</v>
      </c>
      <c r="N146" s="66" t="s">
        <v>80</v>
      </c>
      <c r="O146" s="56">
        <v>3196588</v>
      </c>
      <c r="P146" s="56">
        <v>2083860</v>
      </c>
      <c r="Q146" s="68">
        <f t="shared" si="38"/>
        <v>0.62055333687043812</v>
      </c>
      <c r="R146" s="69">
        <f t="shared" si="31"/>
        <v>0.65190133980356557</v>
      </c>
      <c r="S146" s="56">
        <v>0</v>
      </c>
      <c r="T146" s="56">
        <f t="shared" si="32"/>
        <v>26</v>
      </c>
      <c r="U146" s="56">
        <v>3196588</v>
      </c>
      <c r="V146" s="70" t="s">
        <v>124</v>
      </c>
      <c r="W146" s="56" t="b">
        <v>1</v>
      </c>
      <c r="X146" s="71">
        <f t="shared" si="33"/>
        <v>0.65190133980356557</v>
      </c>
      <c r="Y146" s="71">
        <f t="shared" si="34"/>
        <v>0.62055333687043812</v>
      </c>
      <c r="Z146" s="61">
        <f t="shared" si="35"/>
        <v>26</v>
      </c>
      <c r="AA146" s="58">
        <v>44043</v>
      </c>
      <c r="AB146" s="61" t="str">
        <f t="shared" si="36"/>
        <v>No</v>
      </c>
      <c r="AG146" s="56" t="b">
        <v>0</v>
      </c>
    </row>
    <row r="147" spans="1:33" x14ac:dyDescent="0.3">
      <c r="A147" s="3">
        <v>1987</v>
      </c>
      <c r="B147" s="67">
        <v>10104</v>
      </c>
      <c r="C147" s="52">
        <v>0.11</v>
      </c>
      <c r="D147" s="56" t="s">
        <v>76</v>
      </c>
      <c r="E147" s="52">
        <f t="shared" si="37"/>
        <v>7.4999999999999997E-2</v>
      </c>
      <c r="F147" s="56">
        <f t="shared" si="30"/>
        <v>165</v>
      </c>
      <c r="G147" s="56">
        <v>77015.679999999993</v>
      </c>
      <c r="H147" s="56">
        <v>6820257.4900000002</v>
      </c>
      <c r="I147" s="56">
        <v>180</v>
      </c>
      <c r="J147" s="58">
        <v>43678</v>
      </c>
      <c r="K147" s="58">
        <v>44044</v>
      </c>
      <c r="L147" s="56">
        <v>6528520</v>
      </c>
      <c r="M147" s="66" t="s">
        <v>53</v>
      </c>
      <c r="N147" s="66" t="s">
        <v>102</v>
      </c>
      <c r="O147" s="56">
        <v>11945363</v>
      </c>
      <c r="P147" s="56">
        <v>7778520</v>
      </c>
      <c r="Q147" s="68">
        <f t="shared" si="38"/>
        <v>0.57095441766627009</v>
      </c>
      <c r="R147" s="69">
        <f t="shared" si="31"/>
        <v>0.65117485337197367</v>
      </c>
      <c r="S147" s="56">
        <v>0</v>
      </c>
      <c r="T147" s="56">
        <f t="shared" si="32"/>
        <v>15</v>
      </c>
      <c r="U147" s="56">
        <v>11945362.5</v>
      </c>
      <c r="V147" s="70" t="s">
        <v>124</v>
      </c>
      <c r="W147" s="56" t="b">
        <v>1</v>
      </c>
      <c r="X147" s="71">
        <f t="shared" si="33"/>
        <v>0.65117485337197367</v>
      </c>
      <c r="Y147" s="71">
        <f t="shared" si="34"/>
        <v>0.57095441766627009</v>
      </c>
      <c r="Z147" s="61">
        <f t="shared" si="35"/>
        <v>15</v>
      </c>
      <c r="AA147" s="58">
        <v>0</v>
      </c>
      <c r="AB147" s="61" t="str">
        <f t="shared" si="36"/>
        <v>No</v>
      </c>
      <c r="AG147" s="56" t="b">
        <v>0</v>
      </c>
    </row>
    <row r="148" spans="1:33" x14ac:dyDescent="0.3">
      <c r="A148" s="3">
        <v>1989</v>
      </c>
      <c r="B148" s="67">
        <v>10029</v>
      </c>
      <c r="C148" s="52">
        <v>0.105</v>
      </c>
      <c r="D148" s="56" t="s">
        <v>76</v>
      </c>
      <c r="E148" s="52">
        <f t="shared" si="37"/>
        <v>6.9999999999999993E-2</v>
      </c>
      <c r="F148" s="56">
        <f t="shared" si="30"/>
        <v>158</v>
      </c>
      <c r="G148" s="56">
        <v>29496.2</v>
      </c>
      <c r="H148" s="56">
        <v>2543849.86</v>
      </c>
      <c r="I148" s="56">
        <v>180</v>
      </c>
      <c r="J148" s="58">
        <v>43709</v>
      </c>
      <c r="K148" s="58">
        <v>43831</v>
      </c>
      <c r="L148" s="56">
        <v>2581758</v>
      </c>
      <c r="M148" s="66" t="s">
        <v>53</v>
      </c>
      <c r="N148" s="66" t="s">
        <v>80</v>
      </c>
      <c r="O148" s="56">
        <v>4923621</v>
      </c>
      <c r="P148" s="56">
        <v>2621921</v>
      </c>
      <c r="Q148" s="68">
        <f t="shared" si="38"/>
        <v>0.51666240354405835</v>
      </c>
      <c r="R148" s="69">
        <f t="shared" si="31"/>
        <v>0.5325188514713054</v>
      </c>
      <c r="S148" s="56">
        <v>0</v>
      </c>
      <c r="T148" s="56">
        <f t="shared" si="32"/>
        <v>22</v>
      </c>
      <c r="U148" s="56">
        <v>4923621</v>
      </c>
      <c r="V148" s="70" t="s">
        <v>124</v>
      </c>
      <c r="W148" s="56" t="b">
        <v>1</v>
      </c>
      <c r="X148" s="71">
        <f t="shared" si="33"/>
        <v>0.5325188514713054</v>
      </c>
      <c r="Y148" s="71">
        <f t="shared" si="34"/>
        <v>0.51666240354405835</v>
      </c>
      <c r="Z148" s="61">
        <f t="shared" si="35"/>
        <v>22</v>
      </c>
      <c r="AA148" s="58">
        <v>44135</v>
      </c>
      <c r="AB148" s="61" t="str">
        <f t="shared" si="36"/>
        <v>No</v>
      </c>
      <c r="AG148" s="56" t="b">
        <v>0</v>
      </c>
    </row>
    <row r="149" spans="1:33" x14ac:dyDescent="0.3">
      <c r="A149" s="3">
        <v>1998</v>
      </c>
      <c r="B149" s="67">
        <v>10270</v>
      </c>
      <c r="C149" s="52">
        <v>9.7500000000000003E-2</v>
      </c>
      <c r="D149" s="56" t="s">
        <v>76</v>
      </c>
      <c r="E149" s="52">
        <f t="shared" si="37"/>
        <v>6.25E-2</v>
      </c>
      <c r="F149" s="56">
        <f t="shared" si="30"/>
        <v>156</v>
      </c>
      <c r="G149" s="56">
        <v>23484.28</v>
      </c>
      <c r="H149" s="56">
        <v>2077377.91</v>
      </c>
      <c r="I149" s="56">
        <v>180</v>
      </c>
      <c r="J149" s="58">
        <v>43709</v>
      </c>
      <c r="K149" s="58">
        <v>43770</v>
      </c>
      <c r="L149" s="56">
        <v>2163295.89</v>
      </c>
      <c r="M149" s="66" t="s">
        <v>53</v>
      </c>
      <c r="N149" s="66" t="s">
        <v>79</v>
      </c>
      <c r="O149" s="56">
        <v>9751220</v>
      </c>
      <c r="P149" s="56">
        <v>5347095</v>
      </c>
      <c r="Q149" s="68">
        <f t="shared" si="38"/>
        <v>0.21303774399511036</v>
      </c>
      <c r="R149" s="69">
        <f t="shared" si="31"/>
        <v>0.54835138577531839</v>
      </c>
      <c r="S149" s="56">
        <v>0</v>
      </c>
      <c r="T149" s="56">
        <f t="shared" si="32"/>
        <v>24</v>
      </c>
      <c r="U149" s="56">
        <v>9751220</v>
      </c>
      <c r="V149" s="70" t="s">
        <v>124</v>
      </c>
      <c r="W149" s="56" t="b">
        <v>1</v>
      </c>
      <c r="X149" s="71">
        <f t="shared" si="33"/>
        <v>0.54835138577531839</v>
      </c>
      <c r="Y149" s="71">
        <f t="shared" si="34"/>
        <v>0.21303774399511036</v>
      </c>
      <c r="Z149" s="61">
        <f t="shared" si="35"/>
        <v>24</v>
      </c>
      <c r="AA149" s="58">
        <v>0</v>
      </c>
      <c r="AB149" s="61" t="str">
        <f t="shared" si="36"/>
        <v>No</v>
      </c>
      <c r="AG149" s="56" t="b">
        <v>0</v>
      </c>
    </row>
    <row r="150" spans="1:33" x14ac:dyDescent="0.3">
      <c r="A150" s="3">
        <v>2005</v>
      </c>
      <c r="B150" s="67">
        <v>10303</v>
      </c>
      <c r="C150" s="52">
        <v>0.105</v>
      </c>
      <c r="D150" s="56" t="s">
        <v>76</v>
      </c>
      <c r="E150" s="52">
        <f t="shared" si="37"/>
        <v>6.9999999999999993E-2</v>
      </c>
      <c r="F150" s="56">
        <f t="shared" si="30"/>
        <v>157</v>
      </c>
      <c r="G150" s="56">
        <v>4615.3</v>
      </c>
      <c r="H150" s="56">
        <v>393124.98</v>
      </c>
      <c r="I150" s="56">
        <v>180</v>
      </c>
      <c r="J150" s="58">
        <v>43709</v>
      </c>
      <c r="K150" s="58">
        <v>43800</v>
      </c>
      <c r="L150" s="56">
        <v>384927</v>
      </c>
      <c r="M150" s="66" t="s">
        <v>68</v>
      </c>
      <c r="N150" s="66" t="s">
        <v>68</v>
      </c>
      <c r="O150" s="56">
        <v>8976236</v>
      </c>
      <c r="P150" s="56">
        <v>5419652</v>
      </c>
      <c r="Q150" s="68">
        <f t="shared" si="38"/>
        <v>4.3796194752455261E-2</v>
      </c>
      <c r="R150" s="69">
        <f t="shared" si="31"/>
        <v>0.6037777972860785</v>
      </c>
      <c r="S150" s="56">
        <v>0</v>
      </c>
      <c r="T150" s="56">
        <f t="shared" si="32"/>
        <v>23</v>
      </c>
      <c r="U150" s="56">
        <v>8976236</v>
      </c>
      <c r="V150" s="70" t="s">
        <v>124</v>
      </c>
      <c r="W150" s="56" t="b">
        <v>1</v>
      </c>
      <c r="X150" s="71">
        <f t="shared" si="33"/>
        <v>0.6037777972860785</v>
      </c>
      <c r="Y150" s="71">
        <f t="shared" si="34"/>
        <v>4.3796194752455261E-2</v>
      </c>
      <c r="Z150" s="61">
        <f t="shared" si="35"/>
        <v>23</v>
      </c>
      <c r="AA150" s="58">
        <v>44196</v>
      </c>
      <c r="AB150" s="61" t="str">
        <f t="shared" si="36"/>
        <v>No</v>
      </c>
      <c r="AG150" s="56" t="b">
        <v>0</v>
      </c>
    </row>
    <row r="151" spans="1:33" x14ac:dyDescent="0.3">
      <c r="A151" s="3">
        <v>2007</v>
      </c>
      <c r="B151" s="67">
        <v>8145</v>
      </c>
      <c r="C151" s="52">
        <v>0.1075</v>
      </c>
      <c r="D151" s="56" t="s">
        <v>76</v>
      </c>
      <c r="E151" s="52">
        <f t="shared" si="37"/>
        <v>7.2499999999999995E-2</v>
      </c>
      <c r="F151" s="56">
        <f t="shared" si="30"/>
        <v>157</v>
      </c>
      <c r="G151" s="56">
        <v>197835.12</v>
      </c>
      <c r="H151" s="56">
        <v>17748946.579999998</v>
      </c>
      <c r="I151" s="56">
        <v>180</v>
      </c>
      <c r="J151" s="58">
        <v>43739</v>
      </c>
      <c r="K151" s="58">
        <v>43800</v>
      </c>
      <c r="L151" s="56">
        <v>17067616.100000001</v>
      </c>
      <c r="M151" s="66" t="s">
        <v>53</v>
      </c>
      <c r="N151" s="66" t="s">
        <v>77</v>
      </c>
      <c r="O151" s="56">
        <v>39536323</v>
      </c>
      <c r="P151" s="56">
        <v>21453839</v>
      </c>
      <c r="Q151" s="68">
        <f t="shared" si="38"/>
        <v>0.4533342022541727</v>
      </c>
      <c r="R151" s="69">
        <f t="shared" si="31"/>
        <v>0.54263617281758858</v>
      </c>
      <c r="S151" s="56">
        <v>0</v>
      </c>
      <c r="T151" s="56">
        <f t="shared" si="32"/>
        <v>23</v>
      </c>
      <c r="U151" s="56">
        <v>39152013</v>
      </c>
      <c r="V151" s="70" t="s">
        <v>124</v>
      </c>
      <c r="W151" s="56" t="b">
        <v>1</v>
      </c>
      <c r="X151" s="71">
        <f t="shared" si="33"/>
        <v>0.54263617281758858</v>
      </c>
      <c r="Y151" s="71">
        <f t="shared" si="34"/>
        <v>0.4533342022541727</v>
      </c>
      <c r="Z151" s="61">
        <f t="shared" si="35"/>
        <v>23</v>
      </c>
      <c r="AA151" s="58">
        <v>0</v>
      </c>
      <c r="AB151" s="61" t="str">
        <f t="shared" si="36"/>
        <v>No</v>
      </c>
      <c r="AG151" s="56" t="b">
        <v>0</v>
      </c>
    </row>
    <row r="152" spans="1:33" x14ac:dyDescent="0.3">
      <c r="A152" s="3">
        <v>2011</v>
      </c>
      <c r="B152" s="67">
        <v>10063</v>
      </c>
      <c r="C152" s="52">
        <v>0.105</v>
      </c>
      <c r="D152" s="56" t="s">
        <v>76</v>
      </c>
      <c r="E152" s="52">
        <f t="shared" si="37"/>
        <v>6.9999999999999993E-2</v>
      </c>
      <c r="F152" s="56">
        <f t="shared" si="30"/>
        <v>159</v>
      </c>
      <c r="G152" s="56">
        <v>19695.28</v>
      </c>
      <c r="H152" s="56">
        <v>1682693.45</v>
      </c>
      <c r="I152" s="56">
        <v>180</v>
      </c>
      <c r="J152" s="58">
        <v>43739</v>
      </c>
      <c r="K152" s="58">
        <v>43862</v>
      </c>
      <c r="L152" s="56">
        <v>1718087.37</v>
      </c>
      <c r="M152" s="66" t="s">
        <v>53</v>
      </c>
      <c r="N152" s="66" t="s">
        <v>88</v>
      </c>
      <c r="O152" s="56">
        <v>3413565.83</v>
      </c>
      <c r="P152" s="56">
        <v>2050914</v>
      </c>
      <c r="Q152" s="68">
        <f t="shared" si="38"/>
        <v>0.49294302023172054</v>
      </c>
      <c r="R152" s="69">
        <f t="shared" si="31"/>
        <v>0.60081278702042784</v>
      </c>
      <c r="S152" s="56">
        <v>0</v>
      </c>
      <c r="T152" s="56">
        <f t="shared" si="32"/>
        <v>21</v>
      </c>
      <c r="U152" s="56">
        <v>3413565.83</v>
      </c>
      <c r="V152" s="70" t="s">
        <v>124</v>
      </c>
      <c r="W152" s="56" t="b">
        <v>1</v>
      </c>
      <c r="X152" s="71">
        <f t="shared" si="33"/>
        <v>0.60081278702042784</v>
      </c>
      <c r="Y152" s="71">
        <f t="shared" si="34"/>
        <v>0.49294302023172054</v>
      </c>
      <c r="Z152" s="61">
        <f t="shared" si="35"/>
        <v>21</v>
      </c>
      <c r="AA152" s="58">
        <v>44165</v>
      </c>
      <c r="AB152" s="61" t="str">
        <f t="shared" si="36"/>
        <v>No</v>
      </c>
      <c r="AG152" s="56" t="b">
        <v>0</v>
      </c>
    </row>
    <row r="153" spans="1:33" x14ac:dyDescent="0.3">
      <c r="A153" s="3">
        <v>2034</v>
      </c>
      <c r="B153" s="67">
        <v>10241</v>
      </c>
      <c r="C153" s="52">
        <v>0.105</v>
      </c>
      <c r="D153" s="56" t="s">
        <v>76</v>
      </c>
      <c r="E153" s="52">
        <f t="shared" si="37"/>
        <v>6.9999999999999993E-2</v>
      </c>
      <c r="F153" s="56">
        <f t="shared" si="30"/>
        <v>172</v>
      </c>
      <c r="G153" s="56">
        <v>19230.28</v>
      </c>
      <c r="H153" s="56">
        <v>1647900.75</v>
      </c>
      <c r="I153" s="56">
        <v>180</v>
      </c>
      <c r="J153" s="58">
        <v>43770</v>
      </c>
      <c r="K153" s="58">
        <v>44256</v>
      </c>
      <c r="L153" s="56">
        <v>1625784</v>
      </c>
      <c r="M153" s="66" t="s">
        <v>61</v>
      </c>
      <c r="N153" s="66" t="s">
        <v>123</v>
      </c>
      <c r="O153" s="56">
        <v>2988701</v>
      </c>
      <c r="P153" s="56">
        <v>1550940</v>
      </c>
      <c r="Q153" s="68">
        <f t="shared" si="38"/>
        <v>0.55292467121984612</v>
      </c>
      <c r="R153" s="69">
        <f t="shared" si="31"/>
        <v>0.51893448023070887</v>
      </c>
      <c r="S153" s="56">
        <v>0</v>
      </c>
      <c r="T153" s="56">
        <f t="shared" si="32"/>
        <v>8</v>
      </c>
      <c r="U153" s="56">
        <v>2980335</v>
      </c>
      <c r="V153" s="70" t="s">
        <v>124</v>
      </c>
      <c r="W153" s="56" t="b">
        <v>1</v>
      </c>
      <c r="X153" s="71">
        <f t="shared" si="33"/>
        <v>0.51893448023070887</v>
      </c>
      <c r="Y153" s="71">
        <f t="shared" si="34"/>
        <v>0.55292467121984612</v>
      </c>
      <c r="Z153" s="61">
        <f t="shared" si="35"/>
        <v>8</v>
      </c>
      <c r="AA153" s="58">
        <v>44196</v>
      </c>
      <c r="AB153" s="61" t="str">
        <f t="shared" si="36"/>
        <v>No</v>
      </c>
      <c r="AG153" s="56" t="b">
        <v>0</v>
      </c>
    </row>
    <row r="154" spans="1:33" x14ac:dyDescent="0.3">
      <c r="A154" s="3">
        <v>2037</v>
      </c>
      <c r="B154" s="67">
        <v>8907</v>
      </c>
      <c r="C154" s="52">
        <v>0.105</v>
      </c>
      <c r="D154" s="56" t="s">
        <v>98</v>
      </c>
      <c r="E154" s="52">
        <f t="shared" si="37"/>
        <v>6.8250000000000005E-2</v>
      </c>
      <c r="F154" s="56">
        <f t="shared" si="30"/>
        <v>174</v>
      </c>
      <c r="G154" s="56">
        <v>57289.37</v>
      </c>
      <c r="H154" s="56">
        <v>4909230.9400000004</v>
      </c>
      <c r="I154" s="56">
        <v>180</v>
      </c>
      <c r="J154" s="58">
        <v>43770</v>
      </c>
      <c r="K154" s="58">
        <v>44317</v>
      </c>
      <c r="L154" s="56">
        <v>4811850</v>
      </c>
      <c r="M154" s="66" t="s">
        <v>67</v>
      </c>
      <c r="N154" s="66" t="s">
        <v>77</v>
      </c>
      <c r="O154" s="56">
        <v>9285378</v>
      </c>
      <c r="P154" s="56">
        <v>5062678</v>
      </c>
      <c r="Q154" s="68">
        <f t="shared" si="38"/>
        <v>0.60334993276694771</v>
      </c>
      <c r="R154" s="69">
        <f t="shared" si="31"/>
        <v>0.5452312226815107</v>
      </c>
      <c r="S154" s="56">
        <v>0</v>
      </c>
      <c r="T154" s="56">
        <f t="shared" si="32"/>
        <v>6</v>
      </c>
      <c r="U154" s="56">
        <v>8136623</v>
      </c>
      <c r="V154" s="70" t="s">
        <v>124</v>
      </c>
      <c r="W154" s="56" t="b">
        <v>1</v>
      </c>
      <c r="X154" s="71">
        <f t="shared" si="33"/>
        <v>0.5452312226815107</v>
      </c>
      <c r="Y154" s="71">
        <f t="shared" si="34"/>
        <v>0.60334993276694771</v>
      </c>
      <c r="Z154" s="61">
        <f t="shared" si="35"/>
        <v>6</v>
      </c>
      <c r="AA154" s="58">
        <v>0</v>
      </c>
      <c r="AB154" s="61" t="str">
        <f t="shared" si="36"/>
        <v>No</v>
      </c>
      <c r="AG154" s="56" t="b">
        <v>0</v>
      </c>
    </row>
    <row r="155" spans="1:33" x14ac:dyDescent="0.3">
      <c r="A155" s="3">
        <v>2051</v>
      </c>
      <c r="B155" s="67">
        <v>10286</v>
      </c>
      <c r="C155" s="52">
        <v>0.105</v>
      </c>
      <c r="D155" s="56" t="s">
        <v>76</v>
      </c>
      <c r="E155" s="52">
        <f t="shared" si="37"/>
        <v>6.9999999999999993E-2</v>
      </c>
      <c r="F155" s="56">
        <f t="shared" si="30"/>
        <v>165</v>
      </c>
      <c r="G155" s="56">
        <v>348437.29</v>
      </c>
      <c r="H155" s="56">
        <v>27698950.710000001</v>
      </c>
      <c r="I155" s="56">
        <v>180</v>
      </c>
      <c r="J155" s="58">
        <v>43800</v>
      </c>
      <c r="K155" s="58">
        <v>44044</v>
      </c>
      <c r="L155" s="56">
        <v>29288499.07</v>
      </c>
      <c r="M155" s="66" t="s">
        <v>53</v>
      </c>
      <c r="N155" s="66" t="s">
        <v>83</v>
      </c>
      <c r="O155" s="56">
        <v>65649313</v>
      </c>
      <c r="P155" s="56">
        <v>40129409</v>
      </c>
      <c r="Q155" s="68">
        <f t="shared" si="38"/>
        <v>0.42192317109483435</v>
      </c>
      <c r="R155" s="69">
        <f t="shared" si="31"/>
        <v>0.61126929081497017</v>
      </c>
      <c r="S155" s="56">
        <v>0</v>
      </c>
      <c r="T155" s="56">
        <f t="shared" si="32"/>
        <v>15</v>
      </c>
      <c r="U155" s="56">
        <v>65649276</v>
      </c>
      <c r="V155" s="70" t="s">
        <v>124</v>
      </c>
      <c r="W155" s="56" t="b">
        <v>1</v>
      </c>
      <c r="X155" s="71">
        <f t="shared" si="33"/>
        <v>0.61126929081497017</v>
      </c>
      <c r="Y155" s="71">
        <f t="shared" si="34"/>
        <v>0.42192317109483435</v>
      </c>
      <c r="Z155" s="61">
        <f t="shared" si="35"/>
        <v>15</v>
      </c>
      <c r="AA155" s="58">
        <v>0</v>
      </c>
      <c r="AB155" s="61" t="str">
        <f t="shared" si="36"/>
        <v>No</v>
      </c>
      <c r="AG155" s="56" t="b">
        <v>0</v>
      </c>
    </row>
    <row r="156" spans="1:33" x14ac:dyDescent="0.3">
      <c r="A156" s="3">
        <v>2052</v>
      </c>
      <c r="B156" s="67">
        <v>10082</v>
      </c>
      <c r="C156" s="52">
        <v>0.105</v>
      </c>
      <c r="D156" s="56" t="s">
        <v>76</v>
      </c>
      <c r="E156" s="52">
        <f t="shared" si="37"/>
        <v>6.9999999999999993E-2</v>
      </c>
      <c r="F156" s="56">
        <f t="shared" si="30"/>
        <v>170</v>
      </c>
      <c r="G156" s="56">
        <v>18843</v>
      </c>
      <c r="H156" s="56">
        <v>1619502.39</v>
      </c>
      <c r="I156" s="56">
        <v>180</v>
      </c>
      <c r="J156" s="58">
        <v>43800</v>
      </c>
      <c r="K156" s="58">
        <v>44197</v>
      </c>
      <c r="L156" s="56">
        <v>1507574</v>
      </c>
      <c r="M156" s="66" t="s">
        <v>53</v>
      </c>
      <c r="N156" s="66" t="s">
        <v>85</v>
      </c>
      <c r="O156" s="56">
        <v>2814318</v>
      </c>
      <c r="P156" s="56">
        <v>1584291</v>
      </c>
      <c r="Q156" s="68">
        <f t="shared" si="38"/>
        <v>0.59993457592522959</v>
      </c>
      <c r="R156" s="69">
        <f t="shared" si="31"/>
        <v>0.56293958252052545</v>
      </c>
      <c r="S156" s="56">
        <v>0</v>
      </c>
      <c r="T156" s="56">
        <f t="shared" si="32"/>
        <v>10</v>
      </c>
      <c r="U156" s="56">
        <v>2699465</v>
      </c>
      <c r="V156" s="70" t="s">
        <v>124</v>
      </c>
      <c r="W156" s="56" t="b">
        <v>1</v>
      </c>
      <c r="X156" s="71">
        <f t="shared" si="33"/>
        <v>0.56293958252052545</v>
      </c>
      <c r="Y156" s="71">
        <f t="shared" si="34"/>
        <v>0.59993457592522959</v>
      </c>
      <c r="Z156" s="61">
        <f t="shared" si="35"/>
        <v>10</v>
      </c>
      <c r="AA156" s="58">
        <v>0</v>
      </c>
      <c r="AB156" s="61" t="str">
        <f t="shared" si="36"/>
        <v>No</v>
      </c>
      <c r="AG156" s="56" t="b">
        <v>0</v>
      </c>
    </row>
    <row r="157" spans="1:33" x14ac:dyDescent="0.3">
      <c r="A157" s="3">
        <v>2060</v>
      </c>
      <c r="B157" s="67">
        <v>10409</v>
      </c>
      <c r="C157" s="52">
        <v>0.115</v>
      </c>
      <c r="D157" s="56" t="s">
        <v>76</v>
      </c>
      <c r="E157" s="52">
        <f t="shared" si="37"/>
        <v>0.08</v>
      </c>
      <c r="F157" s="56">
        <f t="shared" si="30"/>
        <v>161</v>
      </c>
      <c r="G157" s="56">
        <v>17711.97</v>
      </c>
      <c r="H157" s="56">
        <v>1455933.23</v>
      </c>
      <c r="I157" s="56">
        <v>180</v>
      </c>
      <c r="J157" s="58">
        <v>43831</v>
      </c>
      <c r="K157" s="58">
        <v>43922</v>
      </c>
      <c r="L157" s="56">
        <v>1507208</v>
      </c>
      <c r="M157" s="66" t="s">
        <v>67</v>
      </c>
      <c r="N157" s="66" t="s">
        <v>77</v>
      </c>
      <c r="O157" s="56">
        <v>7129557</v>
      </c>
      <c r="P157" s="56">
        <v>4050885</v>
      </c>
      <c r="Q157" s="68">
        <f t="shared" si="38"/>
        <v>0.20421089697438424</v>
      </c>
      <c r="R157" s="69">
        <f t="shared" si="31"/>
        <v>0.56818186599812581</v>
      </c>
      <c r="S157" s="56">
        <v>0</v>
      </c>
      <c r="T157" s="56">
        <f t="shared" si="32"/>
        <v>19</v>
      </c>
      <c r="U157" s="56">
        <v>7129557</v>
      </c>
      <c r="V157" s="70" t="s">
        <v>124</v>
      </c>
      <c r="W157" s="56" t="b">
        <v>1</v>
      </c>
      <c r="X157" s="71">
        <f t="shared" si="33"/>
        <v>0.56818186599812581</v>
      </c>
      <c r="Y157" s="71">
        <f t="shared" si="34"/>
        <v>0.20421089697438424</v>
      </c>
      <c r="Z157" s="61">
        <f t="shared" si="35"/>
        <v>19</v>
      </c>
      <c r="AA157" s="58">
        <v>0</v>
      </c>
      <c r="AB157" s="61" t="str">
        <f t="shared" si="36"/>
        <v>No</v>
      </c>
      <c r="AG157" s="56" t="b">
        <v>0</v>
      </c>
    </row>
    <row r="158" spans="1:33" x14ac:dyDescent="0.3">
      <c r="A158" s="3">
        <v>2061</v>
      </c>
      <c r="B158" s="67">
        <v>10456</v>
      </c>
      <c r="C158" s="52">
        <v>0.115</v>
      </c>
      <c r="D158" s="56" t="s">
        <v>76</v>
      </c>
      <c r="E158" s="52">
        <f t="shared" si="37"/>
        <v>0.08</v>
      </c>
      <c r="F158" s="56">
        <f t="shared" si="30"/>
        <v>161</v>
      </c>
      <c r="G158" s="56">
        <v>10461.280000000001</v>
      </c>
      <c r="H158" s="56">
        <v>859922.79</v>
      </c>
      <c r="I158" s="56">
        <v>180</v>
      </c>
      <c r="J158" s="58">
        <v>43862</v>
      </c>
      <c r="K158" s="58">
        <v>43922</v>
      </c>
      <c r="L158" s="56">
        <v>868234</v>
      </c>
      <c r="M158" s="66" t="s">
        <v>53</v>
      </c>
      <c r="N158" s="66" t="s">
        <v>80</v>
      </c>
      <c r="O158" s="56">
        <v>1726115</v>
      </c>
      <c r="P158" s="56">
        <v>878914</v>
      </c>
      <c r="Q158" s="68">
        <f t="shared" si="38"/>
        <v>0.49818395066377386</v>
      </c>
      <c r="R158" s="69">
        <f t="shared" si="31"/>
        <v>0.50918623614301484</v>
      </c>
      <c r="S158" s="56">
        <v>0</v>
      </c>
      <c r="T158" s="56">
        <f t="shared" si="32"/>
        <v>19</v>
      </c>
      <c r="U158" s="56">
        <v>1726115</v>
      </c>
      <c r="V158" s="70" t="s">
        <v>124</v>
      </c>
      <c r="W158" s="56" t="b">
        <v>1</v>
      </c>
      <c r="X158" s="71">
        <f t="shared" si="33"/>
        <v>0.50918623614301484</v>
      </c>
      <c r="Y158" s="71">
        <f t="shared" si="34"/>
        <v>0.49818395066377386</v>
      </c>
      <c r="Z158" s="61">
        <f t="shared" si="35"/>
        <v>19</v>
      </c>
      <c r="AA158" s="58">
        <v>44255</v>
      </c>
      <c r="AB158" s="61" t="str">
        <f t="shared" si="36"/>
        <v>No</v>
      </c>
      <c r="AG158" s="56" t="b">
        <v>0</v>
      </c>
    </row>
    <row r="159" spans="1:33" x14ac:dyDescent="0.3">
      <c r="A159" s="3">
        <v>2068</v>
      </c>
      <c r="B159" s="67">
        <v>10441</v>
      </c>
      <c r="C159" s="52">
        <v>0.10050000000000001</v>
      </c>
      <c r="D159" s="56" t="s">
        <v>98</v>
      </c>
      <c r="E159" s="52">
        <f t="shared" si="37"/>
        <v>6.3750000000000001E-2</v>
      </c>
      <c r="F159" s="56">
        <f t="shared" si="30"/>
        <v>178</v>
      </c>
      <c r="G159" s="56">
        <v>0</v>
      </c>
      <c r="H159" s="56">
        <v>38213477.399999999</v>
      </c>
      <c r="I159" s="56">
        <v>180</v>
      </c>
      <c r="J159" s="58">
        <v>43891</v>
      </c>
      <c r="K159" s="58">
        <v>44440</v>
      </c>
      <c r="L159" s="56">
        <v>31283702.039999999</v>
      </c>
      <c r="M159" s="66" t="s">
        <v>70</v>
      </c>
      <c r="N159" s="66" t="s">
        <v>103</v>
      </c>
      <c r="O159" s="56">
        <v>59645232</v>
      </c>
      <c r="P159" s="56">
        <v>38282133</v>
      </c>
      <c r="Q159" s="68">
        <f t="shared" si="38"/>
        <v>0.64059368662433691</v>
      </c>
      <c r="R159" s="69">
        <f t="shared" si="31"/>
        <v>0.64183056576928055</v>
      </c>
      <c r="S159" s="56">
        <v>0</v>
      </c>
      <c r="T159" s="56">
        <f t="shared" si="32"/>
        <v>2</v>
      </c>
      <c r="U159" s="56">
        <v>59653222</v>
      </c>
      <c r="V159" s="70" t="s">
        <v>124</v>
      </c>
      <c r="W159" s="56" t="b">
        <v>1</v>
      </c>
      <c r="X159" s="71">
        <f t="shared" si="33"/>
        <v>0.64183056576928055</v>
      </c>
      <c r="Y159" s="71">
        <f t="shared" si="34"/>
        <v>0.64059368662433691</v>
      </c>
      <c r="Z159" s="61">
        <f t="shared" si="35"/>
        <v>2</v>
      </c>
      <c r="AA159" s="58">
        <v>0</v>
      </c>
      <c r="AB159" s="61" t="str">
        <f t="shared" si="36"/>
        <v>No</v>
      </c>
      <c r="AG159" s="56" t="b">
        <v>0</v>
      </c>
    </row>
    <row r="160" spans="1:33" x14ac:dyDescent="0.3">
      <c r="A160" s="3">
        <v>2070</v>
      </c>
      <c r="B160" s="67">
        <v>8865</v>
      </c>
      <c r="C160" s="52">
        <v>0.105</v>
      </c>
      <c r="D160" s="56" t="s">
        <v>76</v>
      </c>
      <c r="E160" s="52">
        <f t="shared" si="37"/>
        <v>6.9999999999999993E-2</v>
      </c>
      <c r="F160" s="56">
        <f t="shared" si="30"/>
        <v>165</v>
      </c>
      <c r="G160" s="56">
        <v>31344.32</v>
      </c>
      <c r="H160" s="56">
        <v>2717411.51</v>
      </c>
      <c r="I160" s="56">
        <v>180</v>
      </c>
      <c r="J160" s="58">
        <v>43891</v>
      </c>
      <c r="K160" s="58">
        <v>44044</v>
      </c>
      <c r="L160" s="56">
        <v>2668290.38</v>
      </c>
      <c r="M160" s="66" t="s">
        <v>53</v>
      </c>
      <c r="N160" s="66" t="s">
        <v>77</v>
      </c>
      <c r="O160" s="56">
        <v>4347055</v>
      </c>
      <c r="P160" s="56">
        <v>2682600</v>
      </c>
      <c r="Q160" s="68">
        <f t="shared" si="38"/>
        <v>0.62511551153597089</v>
      </c>
      <c r="R160" s="69">
        <f t="shared" si="31"/>
        <v>0.61710744400519435</v>
      </c>
      <c r="S160" s="56">
        <v>0</v>
      </c>
      <c r="T160" s="56">
        <f t="shared" si="32"/>
        <v>15</v>
      </c>
      <c r="U160" s="56">
        <v>4347055</v>
      </c>
      <c r="V160" s="70" t="s">
        <v>124</v>
      </c>
      <c r="W160" s="56" t="b">
        <v>1</v>
      </c>
      <c r="X160" s="71">
        <f t="shared" si="33"/>
        <v>0.61710744400519435</v>
      </c>
      <c r="Y160" s="71">
        <f t="shared" si="34"/>
        <v>0.62511551153597089</v>
      </c>
      <c r="Z160" s="61">
        <f t="shared" si="35"/>
        <v>15</v>
      </c>
      <c r="AA160" s="58">
        <v>0</v>
      </c>
      <c r="AB160" s="61" t="str">
        <f t="shared" si="36"/>
        <v>No</v>
      </c>
      <c r="AG160" s="56" t="b">
        <v>0</v>
      </c>
    </row>
    <row r="161" spans="1:33" x14ac:dyDescent="0.3">
      <c r="A161" s="3">
        <v>2077</v>
      </c>
      <c r="B161" s="67">
        <v>10460</v>
      </c>
      <c r="C161" s="52">
        <v>0.105</v>
      </c>
      <c r="D161" s="56" t="s">
        <v>76</v>
      </c>
      <c r="E161" s="52">
        <f t="shared" si="37"/>
        <v>6.9999999999999993E-2</v>
      </c>
      <c r="F161" s="56">
        <f t="shared" si="30"/>
        <v>162</v>
      </c>
      <c r="G161" s="56">
        <v>17484.75</v>
      </c>
      <c r="H161" s="56">
        <v>1515860.52</v>
      </c>
      <c r="I161" s="56">
        <v>180</v>
      </c>
      <c r="J161" s="58">
        <v>43891</v>
      </c>
      <c r="K161" s="58">
        <v>43952</v>
      </c>
      <c r="L161" s="56">
        <v>1570163</v>
      </c>
      <c r="M161" s="66" t="s">
        <v>64</v>
      </c>
      <c r="N161" s="66" t="s">
        <v>118</v>
      </c>
      <c r="O161" s="56">
        <v>2000000.4</v>
      </c>
      <c r="P161" s="56">
        <v>1570163</v>
      </c>
      <c r="Q161" s="68">
        <f t="shared" si="38"/>
        <v>0.75793010841397834</v>
      </c>
      <c r="R161" s="69">
        <f t="shared" si="31"/>
        <v>0.78508134298373144</v>
      </c>
      <c r="S161" s="56">
        <v>0</v>
      </c>
      <c r="T161" s="56">
        <f t="shared" si="32"/>
        <v>18</v>
      </c>
      <c r="U161" s="56">
        <v>2000000.4</v>
      </c>
      <c r="V161" s="70" t="s">
        <v>124</v>
      </c>
      <c r="W161" s="56" t="b">
        <v>1</v>
      </c>
      <c r="X161" s="71">
        <f t="shared" si="33"/>
        <v>0.78508134298373144</v>
      </c>
      <c r="Y161" s="71">
        <f t="shared" si="34"/>
        <v>0.75793010841397834</v>
      </c>
      <c r="Z161" s="61">
        <f t="shared" si="35"/>
        <v>18</v>
      </c>
      <c r="AA161" s="58">
        <v>0</v>
      </c>
      <c r="AB161" s="61" t="str">
        <f t="shared" si="36"/>
        <v>No</v>
      </c>
      <c r="AG161" s="56" t="b">
        <v>0</v>
      </c>
    </row>
    <row r="162" spans="1:33" x14ac:dyDescent="0.3">
      <c r="A162" s="3">
        <v>2085</v>
      </c>
      <c r="B162" s="67">
        <v>10460</v>
      </c>
      <c r="C162" s="52">
        <v>0.105</v>
      </c>
      <c r="D162" s="56" t="s">
        <v>76</v>
      </c>
      <c r="E162" s="52">
        <f t="shared" si="37"/>
        <v>6.9999999999999993E-2</v>
      </c>
      <c r="F162" s="56">
        <f t="shared" si="30"/>
        <v>167</v>
      </c>
      <c r="G162" s="56">
        <v>24203.31</v>
      </c>
      <c r="H162" s="56">
        <v>2127495.02</v>
      </c>
      <c r="I162" s="56">
        <v>180</v>
      </c>
      <c r="J162" s="58">
        <v>44044</v>
      </c>
      <c r="K162" s="58">
        <v>44105</v>
      </c>
      <c r="L162" s="56">
        <v>2190195</v>
      </c>
      <c r="M162" s="66" t="s">
        <v>64</v>
      </c>
      <c r="N162" s="66" t="s">
        <v>64</v>
      </c>
      <c r="O162" s="56">
        <v>3000000.35</v>
      </c>
      <c r="P162" s="56">
        <v>2190195</v>
      </c>
      <c r="Q162" s="68">
        <f t="shared" si="38"/>
        <v>0.70916492393075881</v>
      </c>
      <c r="R162" s="69">
        <f t="shared" si="31"/>
        <v>0.73006491482575997</v>
      </c>
      <c r="S162" s="56">
        <v>0</v>
      </c>
      <c r="T162" s="56">
        <f t="shared" si="32"/>
        <v>13</v>
      </c>
      <c r="U162" s="56">
        <v>3000000.35</v>
      </c>
      <c r="V162" s="70" t="s">
        <v>124</v>
      </c>
      <c r="W162" s="56" t="b">
        <v>1</v>
      </c>
      <c r="X162" s="71">
        <f t="shared" si="33"/>
        <v>0.73006491482575997</v>
      </c>
      <c r="Y162" s="71">
        <f t="shared" si="34"/>
        <v>0.70916492393075881</v>
      </c>
      <c r="Z162" s="61">
        <f t="shared" si="35"/>
        <v>13</v>
      </c>
      <c r="AA162" s="58">
        <v>0</v>
      </c>
      <c r="AB162" s="61" t="str">
        <f t="shared" si="36"/>
        <v>No</v>
      </c>
      <c r="AG162" s="56" t="b">
        <v>0</v>
      </c>
    </row>
    <row r="163" spans="1:33" x14ac:dyDescent="0.3">
      <c r="A163" s="3">
        <v>2088</v>
      </c>
      <c r="B163" s="67">
        <v>8907</v>
      </c>
      <c r="C163" s="52">
        <v>0.115</v>
      </c>
      <c r="D163" s="56" t="s">
        <v>98</v>
      </c>
      <c r="E163" s="52">
        <f t="shared" si="37"/>
        <v>7.8250000000000014E-2</v>
      </c>
      <c r="F163" s="56">
        <f t="shared" ref="F163:F176" si="39">I163-T163</f>
        <v>177</v>
      </c>
      <c r="G163" s="56">
        <v>0</v>
      </c>
      <c r="H163" s="56">
        <v>3709071.74</v>
      </c>
      <c r="I163" s="56">
        <v>180</v>
      </c>
      <c r="J163" s="58">
        <v>44075</v>
      </c>
      <c r="K163" s="58">
        <v>44409</v>
      </c>
      <c r="L163" s="56">
        <v>2770843.85</v>
      </c>
      <c r="M163" s="66" t="s">
        <v>67</v>
      </c>
      <c r="N163" s="66" t="s">
        <v>106</v>
      </c>
      <c r="O163" s="56">
        <v>8397454</v>
      </c>
      <c r="P163" s="56">
        <v>5117141</v>
      </c>
      <c r="Q163" s="68">
        <f t="shared" si="38"/>
        <v>0.46338692434595807</v>
      </c>
      <c r="R163" s="69">
        <f t="shared" ref="R163:R176" si="40">P163/O163</f>
        <v>0.60936814896515068</v>
      </c>
      <c r="S163" s="56">
        <v>0</v>
      </c>
      <c r="T163" s="56">
        <f t="shared" ref="T163:T176" si="41">+DATEDIF(EOMONTH($K163,-1),$Z$1+1,"M")</f>
        <v>3</v>
      </c>
      <c r="U163" s="56">
        <v>8004265</v>
      </c>
      <c r="V163" s="70" t="s">
        <v>124</v>
      </c>
      <c r="W163" s="56" t="b">
        <v>1</v>
      </c>
      <c r="X163" s="71">
        <f t="shared" ref="X163:X176" si="42">+P163/O163</f>
        <v>0.60936814896515068</v>
      </c>
      <c r="Y163" s="71">
        <f t="shared" ref="Y163:Y176" si="43">+H163/U163</f>
        <v>0.46338692434595807</v>
      </c>
      <c r="Z163" s="61">
        <f t="shared" ref="Z163:Z176" si="44">+DATEDIF(EOMONTH(K163,-1),$Z$1+1,"M")</f>
        <v>3</v>
      </c>
      <c r="AA163" s="58">
        <v>0</v>
      </c>
      <c r="AB163" s="61" t="str">
        <f t="shared" si="36"/>
        <v>No</v>
      </c>
      <c r="AG163" s="56" t="b">
        <v>0</v>
      </c>
    </row>
    <row r="164" spans="1:33" x14ac:dyDescent="0.3">
      <c r="A164" s="3">
        <v>2089</v>
      </c>
      <c r="B164" s="67">
        <v>8717</v>
      </c>
      <c r="C164" s="52">
        <v>0.1075</v>
      </c>
      <c r="D164" s="56" t="s">
        <v>98</v>
      </c>
      <c r="E164" s="52">
        <f t="shared" si="37"/>
        <v>7.0750000000000007E-2</v>
      </c>
      <c r="F164" s="56">
        <f t="shared" si="39"/>
        <v>168</v>
      </c>
      <c r="G164" s="56">
        <v>274946.08</v>
      </c>
      <c r="H164" s="56">
        <v>23978165.809999999</v>
      </c>
      <c r="I164" s="56">
        <v>180</v>
      </c>
      <c r="J164" s="58">
        <v>44075</v>
      </c>
      <c r="K164" s="58">
        <v>44136</v>
      </c>
      <c r="L164" s="56">
        <v>24731082.719999999</v>
      </c>
      <c r="M164" s="66" t="s">
        <v>53</v>
      </c>
      <c r="N164" s="66" t="s">
        <v>53</v>
      </c>
      <c r="O164" s="56">
        <v>34008320</v>
      </c>
      <c r="P164" s="56">
        <v>24906522</v>
      </c>
      <c r="Q164" s="68">
        <f t="shared" si="38"/>
        <v>0.70506763668419958</v>
      </c>
      <c r="R164" s="69">
        <f t="shared" si="40"/>
        <v>0.73236555054763075</v>
      </c>
      <c r="S164" s="56">
        <v>0</v>
      </c>
      <c r="T164" s="56">
        <f t="shared" si="41"/>
        <v>12</v>
      </c>
      <c r="U164" s="56">
        <v>34008320</v>
      </c>
      <c r="V164" s="70" t="s">
        <v>124</v>
      </c>
      <c r="W164" s="56" t="b">
        <v>1</v>
      </c>
      <c r="X164" s="71">
        <f t="shared" si="42"/>
        <v>0.73236555054763075</v>
      </c>
      <c r="Y164" s="71">
        <f t="shared" si="43"/>
        <v>0.70506763668419958</v>
      </c>
      <c r="Z164" s="61">
        <f t="shared" si="44"/>
        <v>12</v>
      </c>
      <c r="AA164" s="58">
        <v>0</v>
      </c>
      <c r="AB164" s="61" t="str">
        <f t="shared" si="36"/>
        <v>No</v>
      </c>
      <c r="AG164" s="56" t="b">
        <v>0</v>
      </c>
    </row>
    <row r="165" spans="1:33" x14ac:dyDescent="0.3">
      <c r="A165" s="3">
        <v>2090</v>
      </c>
      <c r="B165" s="67">
        <v>10460</v>
      </c>
      <c r="C165" s="52">
        <v>0.105</v>
      </c>
      <c r="D165" s="56" t="s">
        <v>76</v>
      </c>
      <c r="E165" s="52">
        <f t="shared" si="37"/>
        <v>6.9999999999999993E-2</v>
      </c>
      <c r="F165" s="56">
        <f t="shared" si="39"/>
        <v>175</v>
      </c>
      <c r="G165" s="56">
        <v>76626.11</v>
      </c>
      <c r="H165" s="56">
        <v>6771042.9400000004</v>
      </c>
      <c r="I165" s="56">
        <v>180</v>
      </c>
      <c r="J165" s="58">
        <v>44075</v>
      </c>
      <c r="K165" s="58">
        <v>44348</v>
      </c>
      <c r="L165" s="56">
        <v>6442025</v>
      </c>
      <c r="M165" s="66" t="s">
        <v>65</v>
      </c>
      <c r="N165" s="66" t="s">
        <v>64</v>
      </c>
      <c r="O165" s="56">
        <v>11781701.449999999</v>
      </c>
      <c r="P165" s="56">
        <v>6904146</v>
      </c>
      <c r="Q165" s="68">
        <f t="shared" si="38"/>
        <v>0.57470841276494922</v>
      </c>
      <c r="R165" s="69">
        <f t="shared" si="40"/>
        <v>0.58600585232110092</v>
      </c>
      <c r="S165" s="56">
        <v>0</v>
      </c>
      <c r="T165" s="56">
        <f t="shared" si="41"/>
        <v>5</v>
      </c>
      <c r="U165" s="56">
        <v>11781701.449999999</v>
      </c>
      <c r="V165" s="70" t="s">
        <v>124</v>
      </c>
      <c r="W165" s="56" t="b">
        <v>1</v>
      </c>
      <c r="X165" s="71">
        <f t="shared" si="42"/>
        <v>0.58600585232110092</v>
      </c>
      <c r="Y165" s="71">
        <f t="shared" si="43"/>
        <v>0.57470841276494922</v>
      </c>
      <c r="Z165" s="61">
        <f t="shared" si="44"/>
        <v>5</v>
      </c>
      <c r="AA165" s="58">
        <v>0</v>
      </c>
      <c r="AB165" s="61" t="str">
        <f t="shared" si="36"/>
        <v>No</v>
      </c>
      <c r="AG165" s="56" t="b">
        <v>0</v>
      </c>
    </row>
    <row r="166" spans="1:33" x14ac:dyDescent="0.3">
      <c r="A166" s="3">
        <v>2091</v>
      </c>
      <c r="B166" s="67">
        <v>10460</v>
      </c>
      <c r="C166" s="52">
        <v>0.105</v>
      </c>
      <c r="D166" s="56" t="s">
        <v>76</v>
      </c>
      <c r="E166" s="52">
        <f t="shared" si="37"/>
        <v>6.9999999999999993E-2</v>
      </c>
      <c r="F166" s="56">
        <f t="shared" si="39"/>
        <v>175</v>
      </c>
      <c r="G166" s="56">
        <v>60064.84</v>
      </c>
      <c r="H166" s="56">
        <v>5307629.8099999996</v>
      </c>
      <c r="I166" s="56">
        <v>180</v>
      </c>
      <c r="J166" s="58">
        <v>44075</v>
      </c>
      <c r="K166" s="58">
        <v>44348</v>
      </c>
      <c r="L166" s="56">
        <v>5047638</v>
      </c>
      <c r="M166" s="66" t="s">
        <v>65</v>
      </c>
      <c r="N166" s="66" t="s">
        <v>64</v>
      </c>
      <c r="O166" s="56">
        <v>10161307.300000001</v>
      </c>
      <c r="P166" s="56">
        <v>5416146</v>
      </c>
      <c r="Q166" s="68">
        <f t="shared" si="38"/>
        <v>0.52233729905993487</v>
      </c>
      <c r="R166" s="69">
        <f t="shared" si="40"/>
        <v>0.53301665229630435</v>
      </c>
      <c r="S166" s="56">
        <v>0</v>
      </c>
      <c r="T166" s="56">
        <f t="shared" si="41"/>
        <v>5</v>
      </c>
      <c r="U166" s="56">
        <v>10161307.300000001</v>
      </c>
      <c r="V166" s="70" t="s">
        <v>124</v>
      </c>
      <c r="W166" s="56" t="b">
        <v>1</v>
      </c>
      <c r="X166" s="71">
        <f t="shared" si="42"/>
        <v>0.53301665229630435</v>
      </c>
      <c r="Y166" s="71">
        <f t="shared" si="43"/>
        <v>0.52233729905993487</v>
      </c>
      <c r="Z166" s="61">
        <f t="shared" si="44"/>
        <v>5</v>
      </c>
      <c r="AA166" s="58">
        <v>0</v>
      </c>
      <c r="AB166" s="61" t="str">
        <f t="shared" si="36"/>
        <v>No</v>
      </c>
      <c r="AG166" s="56" t="b">
        <v>0</v>
      </c>
    </row>
    <row r="167" spans="1:33" x14ac:dyDescent="0.3">
      <c r="A167" s="3">
        <v>2094</v>
      </c>
      <c r="B167" s="67">
        <v>10468</v>
      </c>
      <c r="C167" s="52">
        <v>0.105</v>
      </c>
      <c r="D167" s="56" t="s">
        <v>76</v>
      </c>
      <c r="E167" s="52">
        <f t="shared" si="37"/>
        <v>6.9999999999999993E-2</v>
      </c>
      <c r="F167" s="56">
        <f t="shared" si="39"/>
        <v>176</v>
      </c>
      <c r="G167" s="56">
        <v>13170.74</v>
      </c>
      <c r="H167" s="56">
        <v>1163856.1200000001</v>
      </c>
      <c r="I167" s="56">
        <v>180</v>
      </c>
      <c r="J167" s="58">
        <v>44105</v>
      </c>
      <c r="K167" s="58">
        <v>44378</v>
      </c>
      <c r="L167" s="56">
        <v>1184910</v>
      </c>
      <c r="M167" s="66" t="s">
        <v>55</v>
      </c>
      <c r="N167" s="66" t="s">
        <v>55</v>
      </c>
      <c r="O167" s="56">
        <v>2029206</v>
      </c>
      <c r="P167" s="56">
        <v>1184910</v>
      </c>
      <c r="Q167" s="68">
        <f t="shared" si="38"/>
        <v>0.57355247323337311</v>
      </c>
      <c r="R167" s="69">
        <f t="shared" si="40"/>
        <v>0.58392790086368762</v>
      </c>
      <c r="S167" s="56">
        <v>0</v>
      </c>
      <c r="T167" s="56">
        <f t="shared" si="41"/>
        <v>4</v>
      </c>
      <c r="U167" s="56">
        <v>2029206</v>
      </c>
      <c r="V167" s="70" t="s">
        <v>124</v>
      </c>
      <c r="W167" s="56" t="b">
        <v>1</v>
      </c>
      <c r="X167" s="71">
        <f t="shared" si="42"/>
        <v>0.58392790086368762</v>
      </c>
      <c r="Y167" s="71">
        <f t="shared" si="43"/>
        <v>0.57355247323337311</v>
      </c>
      <c r="Z167" s="61">
        <f t="shared" si="44"/>
        <v>4</v>
      </c>
      <c r="AA167" s="58">
        <v>0</v>
      </c>
      <c r="AB167" s="61" t="str">
        <f t="shared" si="36"/>
        <v>No</v>
      </c>
      <c r="AG167" s="56" t="b">
        <v>0</v>
      </c>
    </row>
    <row r="168" spans="1:33" x14ac:dyDescent="0.3">
      <c r="A168" s="3">
        <v>2095</v>
      </c>
      <c r="B168" s="67">
        <v>10468</v>
      </c>
      <c r="C168" s="52">
        <v>0.105</v>
      </c>
      <c r="D168" s="56" t="s">
        <v>76</v>
      </c>
      <c r="E168" s="52">
        <f t="shared" si="37"/>
        <v>6.9999999999999993E-2</v>
      </c>
      <c r="F168" s="56">
        <f t="shared" si="39"/>
        <v>176</v>
      </c>
      <c r="G168" s="56">
        <v>24198.25</v>
      </c>
      <c r="H168" s="56">
        <v>2138379.36</v>
      </c>
      <c r="I168" s="56">
        <v>180</v>
      </c>
      <c r="J168" s="58">
        <v>44105</v>
      </c>
      <c r="K168" s="58">
        <v>44378</v>
      </c>
      <c r="L168" s="56">
        <v>2176702</v>
      </c>
      <c r="M168" s="66" t="s">
        <v>55</v>
      </c>
      <c r="N168" s="66" t="s">
        <v>55</v>
      </c>
      <c r="O168" s="56">
        <v>3757604</v>
      </c>
      <c r="P168" s="56">
        <v>2176702</v>
      </c>
      <c r="Q168" s="68">
        <f t="shared" si="38"/>
        <v>0.56908055239455779</v>
      </c>
      <c r="R168" s="69">
        <f t="shared" si="40"/>
        <v>0.57927924283665866</v>
      </c>
      <c r="S168" s="56">
        <v>0</v>
      </c>
      <c r="T168" s="56">
        <f t="shared" si="41"/>
        <v>4</v>
      </c>
      <c r="U168" s="56">
        <v>3757604</v>
      </c>
      <c r="V168" s="70" t="s">
        <v>124</v>
      </c>
      <c r="W168" s="56" t="b">
        <v>1</v>
      </c>
      <c r="X168" s="71">
        <f t="shared" si="42"/>
        <v>0.57927924283665866</v>
      </c>
      <c r="Y168" s="71">
        <f t="shared" si="43"/>
        <v>0.56908055239455779</v>
      </c>
      <c r="Z168" s="61">
        <f t="shared" si="44"/>
        <v>4</v>
      </c>
      <c r="AA168" s="58">
        <v>0</v>
      </c>
      <c r="AB168" s="61" t="str">
        <f t="shared" si="36"/>
        <v>No</v>
      </c>
      <c r="AG168" s="56" t="b">
        <v>0</v>
      </c>
    </row>
    <row r="169" spans="1:33" x14ac:dyDescent="0.3">
      <c r="A169" s="3">
        <v>2096</v>
      </c>
      <c r="B169" s="67">
        <v>10468</v>
      </c>
      <c r="C169" s="52">
        <v>0.105</v>
      </c>
      <c r="D169" s="56" t="s">
        <v>76</v>
      </c>
      <c r="E169" s="52">
        <f t="shared" si="37"/>
        <v>6.9999999999999993E-2</v>
      </c>
      <c r="F169" s="56">
        <f t="shared" si="39"/>
        <v>176</v>
      </c>
      <c r="G169" s="56">
        <v>19921.88</v>
      </c>
      <c r="H169" s="56">
        <v>1760432.48</v>
      </c>
      <c r="I169" s="56">
        <v>180</v>
      </c>
      <c r="J169" s="58">
        <v>44105</v>
      </c>
      <c r="K169" s="58">
        <v>44378</v>
      </c>
      <c r="L169" s="56">
        <v>1792214</v>
      </c>
      <c r="M169" s="66" t="s">
        <v>55</v>
      </c>
      <c r="N169" s="66" t="s">
        <v>55</v>
      </c>
      <c r="O169" s="56">
        <v>3288431</v>
      </c>
      <c r="P169" s="56">
        <v>1792214</v>
      </c>
      <c r="Q169" s="68">
        <f t="shared" si="38"/>
        <v>0.53534116422087008</v>
      </c>
      <c r="R169" s="69">
        <f t="shared" si="40"/>
        <v>0.54500580976155499</v>
      </c>
      <c r="S169" s="56">
        <v>0</v>
      </c>
      <c r="T169" s="56">
        <f t="shared" si="41"/>
        <v>4</v>
      </c>
      <c r="U169" s="56">
        <v>3288431</v>
      </c>
      <c r="V169" s="70" t="s">
        <v>124</v>
      </c>
      <c r="W169" s="56" t="b">
        <v>1</v>
      </c>
      <c r="X169" s="71">
        <f t="shared" si="42"/>
        <v>0.54500580976155499</v>
      </c>
      <c r="Y169" s="71">
        <f t="shared" si="43"/>
        <v>0.53534116422087008</v>
      </c>
      <c r="Z169" s="61">
        <f t="shared" si="44"/>
        <v>4</v>
      </c>
      <c r="AA169" s="58">
        <v>0</v>
      </c>
      <c r="AB169" s="61" t="str">
        <f t="shared" si="36"/>
        <v>No</v>
      </c>
      <c r="AG169" s="56" t="b">
        <v>0</v>
      </c>
    </row>
    <row r="170" spans="1:33" x14ac:dyDescent="0.3">
      <c r="A170" s="3">
        <v>2097</v>
      </c>
      <c r="B170" s="67">
        <v>10224</v>
      </c>
      <c r="C170" s="52">
        <v>0.115</v>
      </c>
      <c r="D170" s="56" t="s">
        <v>76</v>
      </c>
      <c r="E170" s="52">
        <f t="shared" si="37"/>
        <v>0.08</v>
      </c>
      <c r="F170" s="56">
        <f t="shared" si="39"/>
        <v>177</v>
      </c>
      <c r="G170" s="56">
        <v>17531.11</v>
      </c>
      <c r="H170" s="56">
        <v>1471188.32</v>
      </c>
      <c r="I170" s="56">
        <v>180</v>
      </c>
      <c r="J170" s="58">
        <v>44105</v>
      </c>
      <c r="K170" s="58">
        <v>44409</v>
      </c>
      <c r="L170" s="56">
        <v>1444456.53</v>
      </c>
      <c r="M170" s="66" t="s">
        <v>70</v>
      </c>
      <c r="N170" s="66" t="s">
        <v>103</v>
      </c>
      <c r="O170" s="56">
        <v>3264441</v>
      </c>
      <c r="P170" s="56">
        <v>1935125</v>
      </c>
      <c r="Q170" s="68">
        <f t="shared" si="38"/>
        <v>0.41751224635688444</v>
      </c>
      <c r="R170" s="69">
        <f t="shared" si="40"/>
        <v>0.5927890870136725</v>
      </c>
      <c r="S170" s="56">
        <v>0</v>
      </c>
      <c r="T170" s="56">
        <f t="shared" si="41"/>
        <v>3</v>
      </c>
      <c r="U170" s="56">
        <v>3523701</v>
      </c>
      <c r="V170" s="70" t="s">
        <v>124</v>
      </c>
      <c r="W170" s="56" t="b">
        <v>1</v>
      </c>
      <c r="X170" s="71">
        <f t="shared" si="42"/>
        <v>0.5927890870136725</v>
      </c>
      <c r="Y170" s="71">
        <f t="shared" si="43"/>
        <v>0.41751224635688444</v>
      </c>
      <c r="Z170" s="61">
        <f t="shared" si="44"/>
        <v>3</v>
      </c>
      <c r="AA170" s="58">
        <v>0</v>
      </c>
      <c r="AB170" s="61" t="str">
        <f t="shared" si="36"/>
        <v>No</v>
      </c>
      <c r="AG170" s="56" t="b">
        <v>0</v>
      </c>
    </row>
    <row r="171" spans="1:33" x14ac:dyDescent="0.3">
      <c r="A171" s="3">
        <v>2099</v>
      </c>
      <c r="B171" s="67">
        <v>8421</v>
      </c>
      <c r="C171" s="52">
        <v>0.115</v>
      </c>
      <c r="D171" s="56" t="s">
        <v>76</v>
      </c>
      <c r="E171" s="52">
        <f t="shared" si="37"/>
        <v>0.08</v>
      </c>
      <c r="F171" s="56">
        <f t="shared" si="39"/>
        <v>173</v>
      </c>
      <c r="G171" s="56">
        <v>43906.65</v>
      </c>
      <c r="H171" s="56">
        <v>3664889.8</v>
      </c>
      <c r="I171" s="56">
        <v>180</v>
      </c>
      <c r="J171" s="58">
        <v>44105</v>
      </c>
      <c r="K171" s="58">
        <v>44287</v>
      </c>
      <c r="L171" s="56">
        <v>3588038.91</v>
      </c>
      <c r="M171" s="66" t="s">
        <v>53</v>
      </c>
      <c r="N171" s="66" t="s">
        <v>88</v>
      </c>
      <c r="O171" s="56">
        <v>8961018.4600000009</v>
      </c>
      <c r="P171" s="56">
        <v>5343972</v>
      </c>
      <c r="Q171" s="68">
        <f t="shared" si="38"/>
        <v>0.40898139160847119</v>
      </c>
      <c r="R171" s="69">
        <f t="shared" si="40"/>
        <v>0.59635765999749979</v>
      </c>
      <c r="S171" s="56">
        <v>0</v>
      </c>
      <c r="T171" s="56">
        <f t="shared" si="41"/>
        <v>7</v>
      </c>
      <c r="U171" s="56">
        <v>8961018.4600000009</v>
      </c>
      <c r="V171" s="70" t="s">
        <v>124</v>
      </c>
      <c r="W171" s="56" t="b">
        <v>1</v>
      </c>
      <c r="X171" s="71">
        <f t="shared" si="42"/>
        <v>0.59635765999749979</v>
      </c>
      <c r="Y171" s="71">
        <f t="shared" si="43"/>
        <v>0.40898139160847119</v>
      </c>
      <c r="Z171" s="61">
        <f t="shared" si="44"/>
        <v>7</v>
      </c>
      <c r="AA171" s="58">
        <v>0</v>
      </c>
      <c r="AB171" s="61" t="str">
        <f t="shared" si="36"/>
        <v>No</v>
      </c>
      <c r="AG171" s="56" t="b">
        <v>0</v>
      </c>
    </row>
    <row r="172" spans="1:33" x14ac:dyDescent="0.3">
      <c r="A172" s="3">
        <v>2100</v>
      </c>
      <c r="B172" s="67">
        <v>9924</v>
      </c>
      <c r="C172" s="52">
        <v>0.105</v>
      </c>
      <c r="D172" s="56" t="s">
        <v>76</v>
      </c>
      <c r="E172" s="52">
        <f t="shared" si="37"/>
        <v>6.9999999999999993E-2</v>
      </c>
      <c r="F172" s="56">
        <f t="shared" si="39"/>
        <v>175</v>
      </c>
      <c r="G172" s="56">
        <v>18628.28</v>
      </c>
      <c r="H172" s="56">
        <v>1650416.71</v>
      </c>
      <c r="I172" s="56">
        <v>180</v>
      </c>
      <c r="J172" s="58">
        <v>44105</v>
      </c>
      <c r="K172" s="58">
        <v>44348</v>
      </c>
      <c r="L172" s="56">
        <v>1629238</v>
      </c>
      <c r="M172" s="66" t="s">
        <v>59</v>
      </c>
      <c r="N172" s="66" t="s">
        <v>58</v>
      </c>
      <c r="O172" s="56">
        <v>3420737</v>
      </c>
      <c r="P172" s="56">
        <v>1682364</v>
      </c>
      <c r="Q172" s="68">
        <f t="shared" si="38"/>
        <v>0.4823569756196503</v>
      </c>
      <c r="R172" s="69">
        <f t="shared" si="40"/>
        <v>0.4918133139145161</v>
      </c>
      <c r="S172" s="56">
        <v>0</v>
      </c>
      <c r="T172" s="56">
        <f t="shared" si="41"/>
        <v>5</v>
      </c>
      <c r="U172" s="56">
        <v>3421567</v>
      </c>
      <c r="V172" s="70" t="s">
        <v>124</v>
      </c>
      <c r="W172" s="56" t="b">
        <v>1</v>
      </c>
      <c r="X172" s="71">
        <f t="shared" si="42"/>
        <v>0.4918133139145161</v>
      </c>
      <c r="Y172" s="71">
        <f t="shared" si="43"/>
        <v>0.4823569756196503</v>
      </c>
      <c r="Z172" s="61">
        <f t="shared" si="44"/>
        <v>5</v>
      </c>
      <c r="AA172" s="58">
        <v>0</v>
      </c>
      <c r="AB172" s="61" t="str">
        <f t="shared" si="36"/>
        <v>No</v>
      </c>
      <c r="AG172" s="56" t="b">
        <v>0</v>
      </c>
    </row>
    <row r="173" spans="1:33" x14ac:dyDescent="0.3">
      <c r="A173" s="3">
        <v>2103</v>
      </c>
      <c r="B173" s="67">
        <v>0</v>
      </c>
      <c r="C173" s="52">
        <v>0.11449999999999999</v>
      </c>
      <c r="D173" s="56" t="s">
        <v>98</v>
      </c>
      <c r="E173" s="52">
        <f t="shared" si="37"/>
        <v>7.7749999999999986E-2</v>
      </c>
      <c r="F173" s="56">
        <f t="shared" si="39"/>
        <v>172</v>
      </c>
      <c r="G173" s="56">
        <v>10185.74</v>
      </c>
      <c r="H173" s="56">
        <v>860655.78</v>
      </c>
      <c r="I173" s="56">
        <v>180</v>
      </c>
      <c r="J173" s="58">
        <v>44166</v>
      </c>
      <c r="K173" s="58">
        <v>44256</v>
      </c>
      <c r="L173" s="56">
        <v>871868.93</v>
      </c>
      <c r="M173" s="66" t="s">
        <v>53</v>
      </c>
      <c r="N173" s="66" t="s">
        <v>80</v>
      </c>
      <c r="O173" s="56">
        <v>9882854</v>
      </c>
      <c r="P173" s="56">
        <v>941906</v>
      </c>
      <c r="Q173" s="68">
        <f t="shared" si="38"/>
        <v>8.7085752759273785E-2</v>
      </c>
      <c r="R173" s="69">
        <f t="shared" si="40"/>
        <v>9.5307084370567452E-2</v>
      </c>
      <c r="S173" s="56">
        <v>0</v>
      </c>
      <c r="T173" s="56">
        <f t="shared" si="41"/>
        <v>8</v>
      </c>
      <c r="U173" s="56">
        <v>9882854</v>
      </c>
      <c r="V173" s="70" t="s">
        <v>124</v>
      </c>
      <c r="W173" s="56" t="b">
        <v>1</v>
      </c>
      <c r="X173" s="71">
        <f t="shared" si="42"/>
        <v>9.5307084370567452E-2</v>
      </c>
      <c r="Y173" s="71">
        <f t="shared" si="43"/>
        <v>8.7085752759273785E-2</v>
      </c>
      <c r="Z173" s="61">
        <f t="shared" si="44"/>
        <v>8</v>
      </c>
      <c r="AA173" s="58">
        <v>0</v>
      </c>
      <c r="AB173" s="61" t="str">
        <f t="shared" si="36"/>
        <v>No</v>
      </c>
      <c r="AG173" s="56" t="b">
        <v>0</v>
      </c>
    </row>
    <row r="174" spans="1:33" x14ac:dyDescent="0.3">
      <c r="A174" s="3">
        <v>2107</v>
      </c>
      <c r="B174" s="67">
        <v>10440</v>
      </c>
      <c r="C174" s="52">
        <v>0.105</v>
      </c>
      <c r="D174" s="56" t="s">
        <v>76</v>
      </c>
      <c r="E174" s="52">
        <f t="shared" si="37"/>
        <v>6.9999999999999993E-2</v>
      </c>
      <c r="F174" s="56">
        <f t="shared" si="39"/>
        <v>171</v>
      </c>
      <c r="G174" s="56">
        <v>14746.53</v>
      </c>
      <c r="H174" s="56">
        <v>1309884.8799999999</v>
      </c>
      <c r="I174" s="56">
        <v>180</v>
      </c>
      <c r="J174" s="58">
        <v>44166</v>
      </c>
      <c r="K174" s="58">
        <v>44228</v>
      </c>
      <c r="L174" s="56">
        <v>1329055</v>
      </c>
      <c r="M174" s="66" t="s">
        <v>53</v>
      </c>
      <c r="N174" s="66" t="s">
        <v>84</v>
      </c>
      <c r="O174" s="56">
        <v>2351124</v>
      </c>
      <c r="P174" s="56">
        <v>1329055</v>
      </c>
      <c r="Q174" s="68">
        <f t="shared" si="38"/>
        <v>0.55713134653893193</v>
      </c>
      <c r="R174" s="69">
        <f t="shared" si="40"/>
        <v>0.56528494456268574</v>
      </c>
      <c r="S174" s="56">
        <v>0</v>
      </c>
      <c r="T174" s="56">
        <f t="shared" si="41"/>
        <v>9</v>
      </c>
      <c r="U174" s="56">
        <v>2351124</v>
      </c>
      <c r="V174" s="70" t="s">
        <v>124</v>
      </c>
      <c r="W174" s="56" t="b">
        <v>1</v>
      </c>
      <c r="X174" s="71">
        <f t="shared" si="42"/>
        <v>0.56528494456268574</v>
      </c>
      <c r="Y174" s="71">
        <f t="shared" si="43"/>
        <v>0.55713134653893193</v>
      </c>
      <c r="Z174" s="61">
        <f t="shared" si="44"/>
        <v>9</v>
      </c>
      <c r="AA174" s="58">
        <v>0</v>
      </c>
      <c r="AB174" s="61" t="str">
        <f t="shared" si="36"/>
        <v>No</v>
      </c>
      <c r="AG174" s="56" t="b">
        <v>0</v>
      </c>
    </row>
    <row r="175" spans="1:33" x14ac:dyDescent="0.3">
      <c r="A175" s="3">
        <v>2114</v>
      </c>
      <c r="B175" s="67">
        <v>10554</v>
      </c>
      <c r="C175" s="52">
        <v>0.10859999999999999</v>
      </c>
      <c r="D175" s="56" t="s">
        <v>98</v>
      </c>
      <c r="E175" s="52">
        <f t="shared" si="37"/>
        <v>7.1849999999999997E-2</v>
      </c>
      <c r="F175" s="56">
        <f t="shared" si="39"/>
        <v>173</v>
      </c>
      <c r="G175" s="56">
        <v>40478.58</v>
      </c>
      <c r="H175" s="56">
        <v>3544895.94</v>
      </c>
      <c r="I175" s="56">
        <v>180</v>
      </c>
      <c r="J175" s="58">
        <v>44197</v>
      </c>
      <c r="K175" s="58">
        <v>44287</v>
      </c>
      <c r="L175" s="56">
        <v>3573315</v>
      </c>
      <c r="M175" s="66" t="s">
        <v>53</v>
      </c>
      <c r="N175" s="66" t="s">
        <v>90</v>
      </c>
      <c r="O175" s="56">
        <v>5510167</v>
      </c>
      <c r="P175" s="56">
        <v>3573315</v>
      </c>
      <c r="Q175" s="68">
        <f t="shared" si="38"/>
        <v>0.64333729631061998</v>
      </c>
      <c r="R175" s="69">
        <f t="shared" si="40"/>
        <v>0.64849486413025237</v>
      </c>
      <c r="S175" s="56">
        <v>0</v>
      </c>
      <c r="T175" s="56">
        <f t="shared" si="41"/>
        <v>7</v>
      </c>
      <c r="U175" s="56">
        <v>5510167</v>
      </c>
      <c r="V175" s="70" t="s">
        <v>124</v>
      </c>
      <c r="W175" s="56" t="b">
        <v>1</v>
      </c>
      <c r="X175" s="71">
        <f t="shared" si="42"/>
        <v>0.64849486413025237</v>
      </c>
      <c r="Y175" s="71">
        <f t="shared" si="43"/>
        <v>0.64333729631061998</v>
      </c>
      <c r="Z175" s="61">
        <f t="shared" si="44"/>
        <v>7</v>
      </c>
      <c r="AA175" s="58">
        <v>0</v>
      </c>
      <c r="AB175" s="61" t="str">
        <f t="shared" si="36"/>
        <v>No</v>
      </c>
      <c r="AG175" s="56" t="b">
        <v>0</v>
      </c>
    </row>
    <row r="176" spans="1:33" ht="13.8" customHeight="1" x14ac:dyDescent="0.3">
      <c r="A176" s="3">
        <v>2123</v>
      </c>
      <c r="B176" s="67">
        <v>10565</v>
      </c>
      <c r="C176" s="52">
        <v>0.11359999999999999</v>
      </c>
      <c r="D176" s="56" t="s">
        <v>98</v>
      </c>
      <c r="E176" s="52">
        <f t="shared" si="37"/>
        <v>7.6850000000000002E-2</v>
      </c>
      <c r="F176" s="56">
        <f t="shared" si="39"/>
        <v>175</v>
      </c>
      <c r="G176" s="56">
        <v>22976.1</v>
      </c>
      <c r="H176" s="56">
        <v>1962217.16</v>
      </c>
      <c r="I176" s="56">
        <v>180</v>
      </c>
      <c r="J176" s="58">
        <v>44256</v>
      </c>
      <c r="K176" s="58">
        <v>44348</v>
      </c>
      <c r="L176" s="56">
        <v>1974674</v>
      </c>
      <c r="M176" s="66" t="s">
        <v>53</v>
      </c>
      <c r="N176" s="66" t="s">
        <v>84</v>
      </c>
      <c r="O176" s="56">
        <v>3359524</v>
      </c>
      <c r="P176" s="56">
        <v>2028461</v>
      </c>
      <c r="Q176" s="68">
        <f t="shared" si="38"/>
        <v>0.5945222624249582</v>
      </c>
      <c r="R176" s="69">
        <f t="shared" si="40"/>
        <v>0.60379416845957934</v>
      </c>
      <c r="S176" s="56">
        <v>0</v>
      </c>
      <c r="T176" s="56">
        <f t="shared" si="41"/>
        <v>5</v>
      </c>
      <c r="U176" s="56">
        <v>3300494</v>
      </c>
      <c r="V176" s="70" t="s">
        <v>124</v>
      </c>
      <c r="W176" s="56" t="b">
        <v>1</v>
      </c>
      <c r="X176" s="71">
        <f t="shared" si="42"/>
        <v>0.60379416845957934</v>
      </c>
      <c r="Y176" s="71">
        <f t="shared" si="43"/>
        <v>0.5945222624249582</v>
      </c>
      <c r="Z176" s="61">
        <f t="shared" si="44"/>
        <v>5</v>
      </c>
      <c r="AA176" s="58">
        <v>0</v>
      </c>
      <c r="AB176" s="61" t="str">
        <f t="shared" si="36"/>
        <v>No</v>
      </c>
      <c r="AG176" s="56" t="b">
        <v>0</v>
      </c>
    </row>
    <row r="177" spans="1:33" x14ac:dyDescent="0.3">
      <c r="A177" s="3">
        <v>2124</v>
      </c>
      <c r="B177" s="67">
        <v>8272</v>
      </c>
      <c r="C177" s="52">
        <v>0.10859999999999999</v>
      </c>
      <c r="D177" s="56" t="s">
        <v>98</v>
      </c>
      <c r="E177" s="52">
        <f t="shared" si="37"/>
        <v>7.1849999999999997E-2</v>
      </c>
      <c r="F177" s="56">
        <f t="shared" ref="F177:F179" si="45">I177-T177</f>
        <v>175</v>
      </c>
      <c r="G177" s="56">
        <v>19537.16</v>
      </c>
      <c r="H177" s="56">
        <v>1715081.82</v>
      </c>
      <c r="I177" s="56">
        <v>180</v>
      </c>
      <c r="J177" s="58">
        <v>44256</v>
      </c>
      <c r="K177" s="58">
        <v>44348</v>
      </c>
      <c r="L177" s="56">
        <v>1712704.43</v>
      </c>
      <c r="M177" s="66" t="s">
        <v>53</v>
      </c>
      <c r="N177" s="66" t="s">
        <v>80</v>
      </c>
      <c r="O177" s="56">
        <v>2509935</v>
      </c>
      <c r="P177" s="56">
        <v>1746998</v>
      </c>
      <c r="Q177" s="68">
        <f t="shared" si="38"/>
        <v>0.6833172253464731</v>
      </c>
      <c r="R177" s="69">
        <f t="shared" ref="R177:R179" si="46">P177/O177</f>
        <v>0.69603316420544759</v>
      </c>
      <c r="S177" s="56">
        <v>0</v>
      </c>
      <c r="T177" s="56">
        <f t="shared" ref="T177:T179" si="47">+DATEDIF(EOMONTH($K177,-1),$Z$1+1,"M")</f>
        <v>5</v>
      </c>
      <c r="U177" s="56">
        <v>2509935</v>
      </c>
      <c r="V177" s="70" t="s">
        <v>124</v>
      </c>
      <c r="W177" s="56" t="b">
        <v>1</v>
      </c>
      <c r="X177" s="71">
        <f t="shared" ref="X177:X179" si="48">+P177/O177</f>
        <v>0.69603316420544759</v>
      </c>
      <c r="Y177" s="71">
        <f t="shared" ref="Y177:Y179" si="49">+H177/U177</f>
        <v>0.6833172253464731</v>
      </c>
      <c r="Z177" s="61">
        <f t="shared" ref="Z177:Z179" si="50">+DATEDIF(EOMONTH(K177,-1),$Z$1+1,"M")</f>
        <v>5</v>
      </c>
      <c r="AA177" s="58">
        <v>0</v>
      </c>
      <c r="AB177" s="61" t="str">
        <f t="shared" ref="AB177:AB179" si="51">IFERROR(IF(DATEDIF($Z$1+1,EOMONTH(AA177,-1),"M")&gt;0,"Yes","No"),"No")</f>
        <v>No</v>
      </c>
      <c r="AG177" s="56" t="b">
        <v>0</v>
      </c>
    </row>
    <row r="178" spans="1:33" x14ac:dyDescent="0.3">
      <c r="A178" s="3">
        <v>2126</v>
      </c>
      <c r="B178" s="67">
        <v>10428</v>
      </c>
      <c r="C178" s="52">
        <v>0.1211</v>
      </c>
      <c r="D178" s="56" t="s">
        <v>98</v>
      </c>
      <c r="E178" s="52">
        <f t="shared" si="37"/>
        <v>8.4350000000000008E-2</v>
      </c>
      <c r="F178" s="56">
        <f t="shared" si="45"/>
        <v>179</v>
      </c>
      <c r="G178" s="56">
        <v>99419.93</v>
      </c>
      <c r="H178" s="56">
        <v>8191113.3700000001</v>
      </c>
      <c r="I178" s="56">
        <v>180</v>
      </c>
      <c r="J178" s="58">
        <v>44256</v>
      </c>
      <c r="K178" s="58">
        <v>44470</v>
      </c>
      <c r="L178" s="56">
        <v>7818641.9500000002</v>
      </c>
      <c r="M178" s="66" t="s">
        <v>53</v>
      </c>
      <c r="N178" s="66" t="s">
        <v>77</v>
      </c>
      <c r="O178" s="56">
        <v>14772422</v>
      </c>
      <c r="P178" s="56">
        <v>9812386</v>
      </c>
      <c r="Q178" s="68">
        <f t="shared" si="38"/>
        <v>0.56063384833226571</v>
      </c>
      <c r="R178" s="69">
        <f t="shared" si="46"/>
        <v>0.66423677850524443</v>
      </c>
      <c r="S178" s="56">
        <v>0</v>
      </c>
      <c r="T178" s="56">
        <f t="shared" si="47"/>
        <v>1</v>
      </c>
      <c r="U178" s="56">
        <v>14610451</v>
      </c>
      <c r="V178" s="70" t="s">
        <v>124</v>
      </c>
      <c r="W178" s="56" t="b">
        <v>1</v>
      </c>
      <c r="X178" s="71">
        <f t="shared" si="48"/>
        <v>0.66423677850524443</v>
      </c>
      <c r="Y178" s="71">
        <f t="shared" si="49"/>
        <v>0.56063384833226571</v>
      </c>
      <c r="Z178" s="61">
        <f t="shared" si="50"/>
        <v>1</v>
      </c>
      <c r="AA178" s="58">
        <v>0</v>
      </c>
      <c r="AB178" s="61" t="str">
        <f t="shared" si="51"/>
        <v>No</v>
      </c>
      <c r="AG178" s="56" t="b">
        <v>0</v>
      </c>
    </row>
    <row r="179" spans="1:33" x14ac:dyDescent="0.3">
      <c r="A179" s="3">
        <v>2138</v>
      </c>
      <c r="B179" s="67">
        <v>10558</v>
      </c>
      <c r="C179" s="52">
        <v>0.10550000000000001</v>
      </c>
      <c r="D179" s="56" t="s">
        <v>98</v>
      </c>
      <c r="E179" s="52">
        <f t="shared" si="37"/>
        <v>6.8750000000000006E-2</v>
      </c>
      <c r="F179" s="56">
        <f t="shared" si="45"/>
        <v>177</v>
      </c>
      <c r="G179" s="56">
        <v>90759.76</v>
      </c>
      <c r="H179" s="56">
        <v>8160234.29</v>
      </c>
      <c r="I179" s="56">
        <v>180</v>
      </c>
      <c r="J179" s="58">
        <v>44348</v>
      </c>
      <c r="K179" s="58">
        <v>44409</v>
      </c>
      <c r="L179" s="56">
        <v>8151983</v>
      </c>
      <c r="M179" s="66" t="s">
        <v>71</v>
      </c>
      <c r="N179" s="66" t="s">
        <v>82</v>
      </c>
      <c r="O179" s="56">
        <v>12049610</v>
      </c>
      <c r="P179" s="56">
        <v>8151983</v>
      </c>
      <c r="Q179" s="68">
        <f t="shared" si="38"/>
        <v>0.67721978470672495</v>
      </c>
      <c r="R179" s="69">
        <f t="shared" si="46"/>
        <v>0.67653500818698697</v>
      </c>
      <c r="S179" s="56">
        <v>0</v>
      </c>
      <c r="T179" s="56">
        <f t="shared" si="47"/>
        <v>3</v>
      </c>
      <c r="U179" s="56">
        <v>12049610</v>
      </c>
      <c r="V179" s="70" t="s">
        <v>124</v>
      </c>
      <c r="W179" s="56" t="b">
        <v>1</v>
      </c>
      <c r="X179" s="71">
        <f t="shared" si="48"/>
        <v>0.67653500818698697</v>
      </c>
      <c r="Y179" s="71">
        <f t="shared" si="49"/>
        <v>0.67721978470672495</v>
      </c>
      <c r="Z179" s="61">
        <f t="shared" si="50"/>
        <v>3</v>
      </c>
      <c r="AA179" s="58">
        <v>0</v>
      </c>
      <c r="AB179" s="61" t="str">
        <f t="shared" si="51"/>
        <v>No</v>
      </c>
      <c r="AG179" s="56" t="b">
        <v>0</v>
      </c>
    </row>
    <row r="180" spans="1:33" x14ac:dyDescent="0.3">
      <c r="A180" s="3">
        <v>2143</v>
      </c>
      <c r="B180" s="67">
        <v>10498</v>
      </c>
      <c r="C180" s="52">
        <v>0.10550000000000001</v>
      </c>
      <c r="D180" s="56" t="s">
        <v>98</v>
      </c>
      <c r="E180" s="52">
        <f t="shared" si="37"/>
        <v>6.8750000000000006E-2</v>
      </c>
      <c r="F180" s="56">
        <f t="shared" ref="F180:F186" si="52">I180-T180</f>
        <v>179</v>
      </c>
      <c r="G180" s="56">
        <v>33359.160000000003</v>
      </c>
      <c r="H180" s="56">
        <v>3013544.09</v>
      </c>
      <c r="I180" s="56">
        <v>180</v>
      </c>
      <c r="J180" s="58">
        <v>44409</v>
      </c>
      <c r="K180" s="58">
        <v>44470</v>
      </c>
      <c r="L180" s="56">
        <v>2998800</v>
      </c>
      <c r="M180" s="66" t="s">
        <v>71</v>
      </c>
      <c r="N180" s="66" t="s">
        <v>82</v>
      </c>
      <c r="O180" s="56">
        <v>4688843</v>
      </c>
      <c r="P180" s="56">
        <v>2998800</v>
      </c>
      <c r="Q180" s="68">
        <f t="shared" si="38"/>
        <v>0.642705266523106</v>
      </c>
      <c r="R180" s="69">
        <f t="shared" ref="R180:R186" si="53">P180/O180</f>
        <v>0.63956076157806951</v>
      </c>
      <c r="S180" s="56">
        <v>0</v>
      </c>
      <c r="T180" s="56">
        <f t="shared" ref="T180:T186" si="54">+DATEDIF(EOMONTH($K180,-1),$Z$1+1,"M")</f>
        <v>1</v>
      </c>
      <c r="U180" s="56">
        <v>4688843</v>
      </c>
      <c r="V180" s="70" t="s">
        <v>124</v>
      </c>
      <c r="W180" s="56" t="b">
        <v>1</v>
      </c>
      <c r="X180" s="71">
        <f t="shared" ref="X180:X186" si="55">+P180/O180</f>
        <v>0.63956076157806951</v>
      </c>
      <c r="Y180" s="71">
        <f t="shared" ref="Y180:Y186" si="56">+H180/U180</f>
        <v>0.642705266523106</v>
      </c>
      <c r="Z180" s="61">
        <f>+DATEDIF(EOMONTH(K180,-1),$Z$1+1,"M")</f>
        <v>1</v>
      </c>
      <c r="AA180" s="58">
        <v>0</v>
      </c>
      <c r="AB180" s="61" t="str">
        <f t="shared" si="36"/>
        <v>No</v>
      </c>
      <c r="AG180" s="56" t="b">
        <v>0</v>
      </c>
    </row>
    <row r="181" spans="1:33" x14ac:dyDescent="0.3">
      <c r="A181" s="3">
        <v>2145</v>
      </c>
      <c r="B181" s="67">
        <v>10651</v>
      </c>
      <c r="C181" s="52">
        <v>0.105</v>
      </c>
      <c r="D181" s="56" t="s">
        <v>98</v>
      </c>
      <c r="E181" s="52">
        <f t="shared" si="37"/>
        <v>6.8250000000000005E-2</v>
      </c>
      <c r="F181" s="56">
        <f t="shared" si="52"/>
        <v>179</v>
      </c>
      <c r="G181" s="56">
        <v>32507.33</v>
      </c>
      <c r="H181" s="56">
        <v>2944656.17</v>
      </c>
      <c r="I181" s="56">
        <v>180</v>
      </c>
      <c r="J181" s="58">
        <v>44409</v>
      </c>
      <c r="K181" s="58">
        <v>44470</v>
      </c>
      <c r="L181" s="56">
        <v>2927400</v>
      </c>
      <c r="M181" s="66" t="s">
        <v>71</v>
      </c>
      <c r="N181" s="66" t="s">
        <v>82</v>
      </c>
      <c r="O181" s="56">
        <v>3915651</v>
      </c>
      <c r="P181" s="56">
        <v>2927400</v>
      </c>
      <c r="Q181" s="68">
        <f t="shared" si="38"/>
        <v>0.75202212097043375</v>
      </c>
      <c r="R181" s="69">
        <f t="shared" si="53"/>
        <v>0.74761514751953129</v>
      </c>
      <c r="S181" s="56">
        <v>0</v>
      </c>
      <c r="T181" s="56">
        <f t="shared" si="54"/>
        <v>1</v>
      </c>
      <c r="U181" s="56">
        <v>3915651</v>
      </c>
      <c r="V181" s="70" t="s">
        <v>124</v>
      </c>
      <c r="W181" s="56" t="b">
        <v>1</v>
      </c>
      <c r="X181" s="71">
        <f t="shared" si="55"/>
        <v>0.74761514751953129</v>
      </c>
      <c r="Y181" s="71">
        <f t="shared" si="56"/>
        <v>0.75202212097043375</v>
      </c>
      <c r="Z181" s="61">
        <f>+DATEDIF(EOMONTH(K181,-1),$Z$1+1,"M")</f>
        <v>1</v>
      </c>
      <c r="AA181" s="58">
        <v>0</v>
      </c>
      <c r="AB181" s="61" t="str">
        <f t="shared" si="36"/>
        <v>No</v>
      </c>
      <c r="AG181" s="56" t="b">
        <v>0</v>
      </c>
    </row>
    <row r="182" spans="1:33" x14ac:dyDescent="0.3">
      <c r="A182" s="3">
        <v>908</v>
      </c>
      <c r="B182" s="67">
        <v>8231</v>
      </c>
      <c r="C182" s="52">
        <v>0.09</v>
      </c>
      <c r="D182" s="56" t="s">
        <v>76</v>
      </c>
      <c r="E182" s="52">
        <f t="shared" si="37"/>
        <v>5.4999999999999993E-2</v>
      </c>
      <c r="F182" s="56">
        <f t="shared" si="52"/>
        <v>51</v>
      </c>
      <c r="G182" s="56">
        <v>314485.56</v>
      </c>
      <c r="H182" s="56">
        <v>10657405.58</v>
      </c>
      <c r="I182" s="56">
        <v>180</v>
      </c>
      <c r="J182" s="58">
        <v>40148</v>
      </c>
      <c r="K182" s="58">
        <v>40575</v>
      </c>
      <c r="L182" s="56">
        <v>27882007</v>
      </c>
      <c r="M182" s="66" t="s">
        <v>53</v>
      </c>
      <c r="N182" s="66" t="s">
        <v>53</v>
      </c>
      <c r="O182" s="56">
        <v>72992332.269999996</v>
      </c>
      <c r="P182" s="56">
        <v>27882008</v>
      </c>
      <c r="Q182" s="68">
        <f t="shared" si="38"/>
        <v>9.6368619043313133E-2</v>
      </c>
      <c r="R182" s="69">
        <f t="shared" si="53"/>
        <v>0.38198543782467359</v>
      </c>
      <c r="S182" s="56">
        <v>0</v>
      </c>
      <c r="T182" s="56">
        <f t="shared" si="54"/>
        <v>129</v>
      </c>
      <c r="U182" s="56">
        <v>110590000</v>
      </c>
      <c r="V182" s="70" t="s">
        <v>124</v>
      </c>
      <c r="W182" s="56" t="b">
        <v>1</v>
      </c>
      <c r="X182" s="71">
        <f t="shared" si="55"/>
        <v>0.38198543782467359</v>
      </c>
      <c r="Y182" s="71">
        <f t="shared" si="56"/>
        <v>9.6368619043313133E-2</v>
      </c>
      <c r="Z182" s="61">
        <f t="shared" ref="Z182:Z186" si="57">+DATEDIF(EOMONTH(K182,-1),$Z$1+1,"M")</f>
        <v>129</v>
      </c>
      <c r="AA182" s="58">
        <v>0</v>
      </c>
      <c r="AB182" s="61" t="str">
        <f t="shared" si="36"/>
        <v>No</v>
      </c>
      <c r="AG182" s="56" t="b">
        <v>0</v>
      </c>
    </row>
    <row r="183" spans="1:33" x14ac:dyDescent="0.3">
      <c r="A183" s="73">
        <v>2160</v>
      </c>
      <c r="B183" s="67">
        <v>10328</v>
      </c>
      <c r="C183" s="52">
        <v>0.105</v>
      </c>
      <c r="D183" s="56" t="s">
        <v>98</v>
      </c>
      <c r="E183" s="52">
        <f t="shared" si="37"/>
        <v>6.8250000000000005E-2</v>
      </c>
      <c r="F183" s="56">
        <f t="shared" si="52"/>
        <v>180</v>
      </c>
      <c r="G183" s="56">
        <v>54702.13</v>
      </c>
      <c r="H183" s="56">
        <v>5052853.01</v>
      </c>
      <c r="I183" s="56">
        <v>180</v>
      </c>
      <c r="J183" s="58">
        <v>44440</v>
      </c>
      <c r="K183" s="58">
        <v>44501</v>
      </c>
      <c r="L183" s="56">
        <v>5069655</v>
      </c>
      <c r="M183" s="66" t="s">
        <v>67</v>
      </c>
      <c r="N183" s="66" t="s">
        <v>77</v>
      </c>
      <c r="O183" s="56">
        <v>13263092</v>
      </c>
      <c r="P183" s="56">
        <v>5069655</v>
      </c>
      <c r="Q183" s="68">
        <f t="shared" si="38"/>
        <v>0.38097096891132171</v>
      </c>
      <c r="R183" s="69">
        <f t="shared" si="53"/>
        <v>0.38223779191156931</v>
      </c>
      <c r="S183" s="56">
        <v>0</v>
      </c>
      <c r="T183" s="56">
        <f t="shared" si="54"/>
        <v>0</v>
      </c>
      <c r="U183" s="56">
        <v>13263092</v>
      </c>
      <c r="V183" s="70" t="s">
        <v>124</v>
      </c>
      <c r="W183" s="56" t="b">
        <v>1</v>
      </c>
      <c r="X183" s="71">
        <f t="shared" si="55"/>
        <v>0.38223779191156931</v>
      </c>
      <c r="Y183" s="71">
        <f t="shared" si="56"/>
        <v>0.38097096891132171</v>
      </c>
      <c r="Z183" s="61">
        <f t="shared" si="57"/>
        <v>0</v>
      </c>
      <c r="AA183" s="58">
        <v>0</v>
      </c>
      <c r="AB183" s="61" t="str">
        <f t="shared" si="36"/>
        <v>No</v>
      </c>
      <c r="AG183" s="56" t="b">
        <v>0</v>
      </c>
    </row>
    <row r="184" spans="1:33" x14ac:dyDescent="0.3">
      <c r="A184" s="73">
        <v>1695</v>
      </c>
      <c r="B184" s="67">
        <v>7996</v>
      </c>
      <c r="C184" s="52">
        <v>9.0999999999999998E-2</v>
      </c>
      <c r="D184" s="56" t="s">
        <v>76</v>
      </c>
      <c r="E184" s="52">
        <f t="shared" si="37"/>
        <v>5.5999999999999994E-2</v>
      </c>
      <c r="F184" s="56">
        <f t="shared" si="52"/>
        <v>127</v>
      </c>
      <c r="G184" s="56">
        <v>38367.519999999997</v>
      </c>
      <c r="H184" s="56">
        <v>5157481.28</v>
      </c>
      <c r="I184" s="56">
        <v>180</v>
      </c>
      <c r="J184" s="58">
        <v>42856</v>
      </c>
      <c r="K184" s="58">
        <v>42887</v>
      </c>
      <c r="L184" s="56">
        <v>5022480</v>
      </c>
      <c r="M184" s="66" t="s">
        <v>53</v>
      </c>
      <c r="N184" s="66" t="s">
        <v>83</v>
      </c>
      <c r="O184" s="56">
        <v>6709036.6200000001</v>
      </c>
      <c r="P184" s="56">
        <v>5022480</v>
      </c>
      <c r="Q184" s="68">
        <f t="shared" si="38"/>
        <v>0.76486222493778755</v>
      </c>
      <c r="R184" s="69">
        <f t="shared" si="53"/>
        <v>0.7486141877699275</v>
      </c>
      <c r="S184" s="56">
        <v>0</v>
      </c>
      <c r="T184" s="56">
        <f t="shared" si="54"/>
        <v>53</v>
      </c>
      <c r="U184" s="56">
        <v>6743020</v>
      </c>
      <c r="V184" s="70" t="s">
        <v>125</v>
      </c>
      <c r="W184" s="56" t="b">
        <v>1</v>
      </c>
      <c r="X184" s="71">
        <f t="shared" si="55"/>
        <v>0.7486141877699275</v>
      </c>
      <c r="Y184" s="71">
        <f t="shared" si="56"/>
        <v>0.76486222493778755</v>
      </c>
      <c r="Z184" s="61">
        <f t="shared" si="57"/>
        <v>53</v>
      </c>
      <c r="AA184" s="58">
        <v>44804</v>
      </c>
      <c r="AB184" s="61" t="str">
        <f t="shared" si="36"/>
        <v>Yes</v>
      </c>
      <c r="AG184" s="56" t="b">
        <v>0</v>
      </c>
    </row>
    <row r="185" spans="1:33" x14ac:dyDescent="0.3">
      <c r="A185" s="3">
        <v>1844</v>
      </c>
      <c r="B185" s="67">
        <v>9897</v>
      </c>
      <c r="C185" s="52">
        <v>9.5000000000000001E-2</v>
      </c>
      <c r="D185" s="56" t="s">
        <v>76</v>
      </c>
      <c r="E185" s="52">
        <f t="shared" si="37"/>
        <v>0.06</v>
      </c>
      <c r="F185" s="56">
        <f t="shared" si="52"/>
        <v>164</v>
      </c>
      <c r="G185" s="56">
        <v>210371.3</v>
      </c>
      <c r="H185" s="56">
        <v>14769993.439999999</v>
      </c>
      <c r="I185" s="56">
        <v>180</v>
      </c>
      <c r="J185" s="58">
        <v>43282</v>
      </c>
      <c r="K185" s="58">
        <v>44013</v>
      </c>
      <c r="L185" s="56">
        <v>19473052.780000001</v>
      </c>
      <c r="M185" s="66" t="s">
        <v>75</v>
      </c>
      <c r="N185" s="66" t="s">
        <v>114</v>
      </c>
      <c r="O185" s="56">
        <v>29047170</v>
      </c>
      <c r="P185" s="56">
        <v>20438230</v>
      </c>
      <c r="Q185" s="68">
        <f t="shared" si="38"/>
        <v>0.50848304464772298</v>
      </c>
      <c r="R185" s="69">
        <f t="shared" si="53"/>
        <v>0.70362207402648869</v>
      </c>
      <c r="S185" s="56">
        <v>0</v>
      </c>
      <c r="T185" s="56">
        <f t="shared" si="54"/>
        <v>16</v>
      </c>
      <c r="U185" s="56">
        <v>29047170</v>
      </c>
      <c r="V185" s="70" t="s">
        <v>124</v>
      </c>
      <c r="W185" s="56" t="b">
        <v>1</v>
      </c>
      <c r="X185" s="71">
        <f t="shared" si="55"/>
        <v>0.70362207402648869</v>
      </c>
      <c r="Y185" s="71">
        <f t="shared" si="56"/>
        <v>0.50848304464772298</v>
      </c>
      <c r="Z185" s="61">
        <f t="shared" si="57"/>
        <v>16</v>
      </c>
      <c r="AA185" s="58">
        <v>43708</v>
      </c>
      <c r="AB185" s="61" t="str">
        <f t="shared" si="36"/>
        <v>No</v>
      </c>
      <c r="AG185" s="56" t="b">
        <v>0</v>
      </c>
    </row>
    <row r="186" spans="1:33" x14ac:dyDescent="0.3">
      <c r="A186" s="3">
        <v>2147</v>
      </c>
      <c r="B186" s="67">
        <v>10328</v>
      </c>
      <c r="C186" s="52">
        <v>0.105</v>
      </c>
      <c r="D186" s="56" t="s">
        <v>98</v>
      </c>
      <c r="E186" s="52">
        <f t="shared" si="37"/>
        <v>6.8250000000000005E-2</v>
      </c>
      <c r="F186" s="56">
        <f t="shared" si="52"/>
        <v>179</v>
      </c>
      <c r="G186" s="56">
        <v>22972.03</v>
      </c>
      <c r="H186" s="56">
        <v>2080907.48</v>
      </c>
      <c r="I186" s="56">
        <v>180</v>
      </c>
      <c r="J186" s="58">
        <v>44409</v>
      </c>
      <c r="K186" s="58">
        <v>44470</v>
      </c>
      <c r="L186" s="56">
        <v>2068713</v>
      </c>
      <c r="M186" s="66" t="s">
        <v>67</v>
      </c>
      <c r="N186" s="66" t="s">
        <v>77</v>
      </c>
      <c r="O186" s="56">
        <v>3793486</v>
      </c>
      <c r="P186" s="56">
        <v>2068713</v>
      </c>
      <c r="Q186" s="68">
        <f t="shared" si="38"/>
        <v>0.54854753588595551</v>
      </c>
      <c r="R186" s="69">
        <f t="shared" si="53"/>
        <v>0.54533297341811726</v>
      </c>
      <c r="S186" s="56">
        <v>0</v>
      </c>
      <c r="T186" s="56">
        <f t="shared" si="54"/>
        <v>1</v>
      </c>
      <c r="U186" s="56">
        <v>3793486.15</v>
      </c>
      <c r="V186" s="70" t="s">
        <v>124</v>
      </c>
      <c r="W186" s="56" t="b">
        <v>1</v>
      </c>
      <c r="X186" s="71">
        <f t="shared" si="55"/>
        <v>0.54533297341811726</v>
      </c>
      <c r="Y186" s="71">
        <f t="shared" si="56"/>
        <v>0.54854753588595551</v>
      </c>
      <c r="Z186" s="61">
        <f t="shared" si="57"/>
        <v>1</v>
      </c>
      <c r="AA186" s="58">
        <v>0</v>
      </c>
      <c r="AB186" s="61" t="str">
        <f t="shared" si="36"/>
        <v>No</v>
      </c>
      <c r="AG186" s="56" t="b">
        <v>0</v>
      </c>
    </row>
    <row r="187" spans="1:33" ht="13.2" customHeight="1" x14ac:dyDescent="0.3">
      <c r="A187" s="73"/>
      <c r="B187" s="67"/>
      <c r="C187" s="66"/>
      <c r="E187" s="52"/>
      <c r="G187" s="56"/>
      <c r="H187" s="2">
        <f>SUM(H3:H186)</f>
        <v>1144838552.0855</v>
      </c>
      <c r="L187" s="56"/>
      <c r="O187" s="56"/>
      <c r="P187" s="74"/>
      <c r="Q187" s="60"/>
      <c r="R187" s="75"/>
      <c r="X187" s="71"/>
      <c r="Y187" s="71"/>
      <c r="AA187" s="58"/>
      <c r="AB187" s="61"/>
    </row>
    <row r="188" spans="1:33" ht="13.2" customHeight="1" x14ac:dyDescent="0.3">
      <c r="A188" s="3"/>
      <c r="B188" s="67"/>
      <c r="C188" s="66"/>
      <c r="E188" s="52"/>
      <c r="G188" s="56"/>
      <c r="H188" s="56"/>
      <c r="L188" s="56"/>
      <c r="O188" s="56"/>
      <c r="P188" s="74"/>
      <c r="Q188" s="60"/>
      <c r="R188" s="75"/>
      <c r="X188" s="71"/>
      <c r="Y188" s="71"/>
      <c r="AA188" s="58"/>
      <c r="AB188" s="61"/>
    </row>
    <row r="189" spans="1:33" x14ac:dyDescent="0.3">
      <c r="B189" s="67"/>
      <c r="E189" s="52"/>
      <c r="G189" s="76" t="s">
        <v>23</v>
      </c>
      <c r="H189" s="53">
        <f>SUMIF($W$3:$W$186,"FALSE",$H$3:$H$186)</f>
        <v>645001717.52149999</v>
      </c>
      <c r="L189" s="56"/>
      <c r="AA189" s="58"/>
      <c r="AB189" s="61"/>
    </row>
    <row r="190" spans="1:33" x14ac:dyDescent="0.3">
      <c r="B190" s="67"/>
      <c r="E190" s="52"/>
      <c r="G190" s="76" t="s">
        <v>24</v>
      </c>
      <c r="H190" s="53">
        <f>IFERROR(SUMIF($W$3:$W$186,"TRUE",$H$3:$H$186),0)</f>
        <v>499836834.56399995</v>
      </c>
      <c r="L190" s="56"/>
      <c r="U190" s="68"/>
      <c r="AA190" s="58"/>
      <c r="AB190" s="61"/>
    </row>
    <row r="191" spans="1:33" x14ac:dyDescent="0.3">
      <c r="G191" s="76" t="s">
        <v>25</v>
      </c>
      <c r="H191" s="53">
        <f>SUM(H189:H190)</f>
        <v>1144838552.0855</v>
      </c>
      <c r="I191" s="56">
        <f>COUNT(H3:H186)</f>
        <v>184</v>
      </c>
      <c r="U191" s="68"/>
    </row>
    <row r="194" spans="6:26" x14ac:dyDescent="0.3">
      <c r="H194" s="79"/>
      <c r="J194" s="56"/>
      <c r="K194" s="56"/>
      <c r="L194" s="56"/>
      <c r="O194" s="56"/>
      <c r="P194" s="56"/>
      <c r="Q194" s="56"/>
      <c r="R194" s="56"/>
      <c r="X194" s="56"/>
      <c r="Y194" s="56"/>
      <c r="Z194" s="56"/>
    </row>
    <row r="196" spans="6:26" x14ac:dyDescent="0.3">
      <c r="G196" s="73" t="s">
        <v>22</v>
      </c>
      <c r="H196" s="53">
        <f>SUMIF($AB$3:$AB$186,"Yes",$H$3:$H$186)</f>
        <v>168089096.63999999</v>
      </c>
      <c r="I196" s="68">
        <f>H196/H191</f>
        <v>0.14682340696319124</v>
      </c>
      <c r="J196" s="56"/>
      <c r="K196" s="56"/>
      <c r="L196" s="56"/>
      <c r="O196" s="56"/>
      <c r="P196" s="56"/>
      <c r="Q196" s="56"/>
      <c r="R196" s="56"/>
      <c r="X196" s="56"/>
      <c r="Y196" s="56"/>
      <c r="Z196" s="56"/>
    </row>
    <row r="197" spans="6:26" x14ac:dyDescent="0.3">
      <c r="G197" s="73" t="s">
        <v>27</v>
      </c>
      <c r="H197" s="80" cm="1">
        <f t="array" ref="H197">SUMPRODUCT($T$3:$T$186,$H$3:$H$186/$H$191)</f>
        <v>34.929748772993378</v>
      </c>
      <c r="I197" s="80">
        <f>H197</f>
        <v>34.929748772993378</v>
      </c>
      <c r="J197" s="56"/>
      <c r="K197" s="56"/>
      <c r="L197" s="56"/>
      <c r="O197" s="56"/>
      <c r="P197" s="56"/>
      <c r="Q197" s="56"/>
      <c r="R197" s="56"/>
      <c r="X197" s="56"/>
      <c r="Y197" s="56"/>
      <c r="Z197" s="56"/>
    </row>
    <row r="198" spans="6:26" x14ac:dyDescent="0.3">
      <c r="G198" s="73" t="s">
        <v>28</v>
      </c>
      <c r="H198" s="81" cm="1">
        <f t="array" ref="H198">SUMPRODUCT($E$3:$E$186,$H$3:$H$186/$H$191)</f>
        <v>6.7827270433853962E-2</v>
      </c>
      <c r="I198" s="81">
        <f>H198</f>
        <v>6.7827270433853962E-2</v>
      </c>
      <c r="J198" s="56"/>
      <c r="K198" s="56"/>
      <c r="L198" s="56"/>
      <c r="O198" s="56"/>
      <c r="P198" s="56"/>
      <c r="Q198" s="56"/>
      <c r="R198" s="56"/>
      <c r="X198" s="56"/>
      <c r="Y198" s="56"/>
      <c r="Z198" s="56"/>
    </row>
    <row r="199" spans="6:26" x14ac:dyDescent="0.3">
      <c r="G199" s="73" t="s">
        <v>29</v>
      </c>
      <c r="H199" s="81" cm="1">
        <f t="array" ref="H199">SUMPRODUCT($Q$3:$Q$186,$H$3:$H$186/$H$191)</f>
        <v>0.58030458656823591</v>
      </c>
      <c r="I199" s="81">
        <f t="shared" ref="I199" si="58">H199</f>
        <v>0.58030458656823591</v>
      </c>
      <c r="J199" s="56"/>
      <c r="K199" s="56"/>
      <c r="L199" s="56"/>
      <c r="O199" s="56"/>
      <c r="P199" s="56"/>
      <c r="Q199" s="56"/>
      <c r="R199" s="56"/>
      <c r="X199" s="56"/>
      <c r="Y199" s="56"/>
      <c r="Z199" s="56"/>
    </row>
    <row r="200" spans="6:26" x14ac:dyDescent="0.3">
      <c r="F200" s="73"/>
      <c r="G200" s="73"/>
      <c r="H200" s="73"/>
      <c r="I200" s="73"/>
      <c r="J200" s="56"/>
      <c r="K200" s="56"/>
      <c r="L200" s="56"/>
      <c r="O200" s="56"/>
      <c r="P200" s="56"/>
      <c r="Q200" s="56"/>
      <c r="R200" s="56"/>
      <c r="X200" s="56"/>
      <c r="Y200" s="56"/>
      <c r="Z200" s="56"/>
    </row>
    <row r="201" spans="6:26" x14ac:dyDescent="0.3">
      <c r="F201" s="82" t="s">
        <v>30</v>
      </c>
      <c r="G201" s="73"/>
      <c r="H201" s="73"/>
      <c r="I201" s="73"/>
      <c r="J201" s="56"/>
      <c r="K201" s="56"/>
      <c r="L201" s="56"/>
      <c r="O201" s="56"/>
      <c r="P201" s="56"/>
      <c r="Q201" s="56"/>
      <c r="R201" s="56"/>
      <c r="X201" s="56"/>
      <c r="Y201" s="56"/>
      <c r="Z201" s="56"/>
    </row>
    <row r="202" spans="6:26" x14ac:dyDescent="0.3">
      <c r="F202" s="73"/>
      <c r="G202" s="73" t="s">
        <v>31</v>
      </c>
      <c r="H202" s="53">
        <f>SUMIF($Q$5:$Q$186,"&lt;=30%",$H$3:$H$186)</f>
        <v>63654632.179999992</v>
      </c>
      <c r="I202" s="83">
        <f t="shared" ref="I202:I208" si="59">H202/$H$191</f>
        <v>5.5601405162363955E-2</v>
      </c>
      <c r="J202" s="56"/>
      <c r="K202" s="56"/>
      <c r="L202" s="56"/>
      <c r="O202" s="56"/>
      <c r="P202" s="56"/>
      <c r="Q202" s="56"/>
      <c r="R202" s="56"/>
      <c r="X202" s="56"/>
      <c r="Y202" s="56"/>
      <c r="Z202" s="56"/>
    </row>
    <row r="203" spans="6:26" x14ac:dyDescent="0.3">
      <c r="F203" s="73"/>
      <c r="G203" s="84" t="s">
        <v>32</v>
      </c>
      <c r="H203" s="53">
        <f>SUMIF($Q$3:$Q$186,"&lt;=40%",$H$3:$H$186)-H202</f>
        <v>26993585.375499994</v>
      </c>
      <c r="I203" s="83">
        <f t="shared" si="59"/>
        <v>2.3578508363757505E-2</v>
      </c>
      <c r="J203" s="56"/>
      <c r="K203" s="56"/>
      <c r="L203" s="56"/>
      <c r="O203" s="56"/>
      <c r="P203" s="56"/>
      <c r="Q203" s="56"/>
      <c r="R203" s="56"/>
      <c r="X203" s="56"/>
      <c r="Y203" s="56"/>
      <c r="Z203" s="56"/>
    </row>
    <row r="204" spans="6:26" x14ac:dyDescent="0.3">
      <c r="F204" s="73"/>
      <c r="G204" s="84" t="s">
        <v>33</v>
      </c>
      <c r="H204" s="53">
        <f>SUMIF($Q$3:$Q$186,"&lt;=50%",$H$3:$H$186)-SUM(H202:$H$203)</f>
        <v>156036974.92200005</v>
      </c>
      <c r="I204" s="83">
        <f t="shared" si="59"/>
        <v>0.13629605208328688</v>
      </c>
      <c r="J204" s="56"/>
      <c r="K204" s="56"/>
      <c r="L204" s="56"/>
      <c r="O204" s="56"/>
      <c r="P204" s="56"/>
      <c r="Q204" s="56"/>
      <c r="R204" s="56"/>
      <c r="X204" s="56"/>
      <c r="Y204" s="56"/>
      <c r="Z204" s="56"/>
    </row>
    <row r="205" spans="6:26" x14ac:dyDescent="0.3">
      <c r="F205" s="73"/>
      <c r="G205" s="84" t="s">
        <v>34</v>
      </c>
      <c r="H205" s="53">
        <f>SUMIF($Q$3:$Q$186,"&lt;=60%",$H$3:$H$186)-SUM($H$202:$H204)</f>
        <v>285496411.87499988</v>
      </c>
      <c r="I205" s="83">
        <f t="shared" si="59"/>
        <v>0.24937700722510098</v>
      </c>
      <c r="J205" s="56"/>
      <c r="K205" s="56"/>
      <c r="L205" s="56"/>
      <c r="O205" s="56"/>
      <c r="P205" s="56"/>
      <c r="Q205" s="56"/>
      <c r="R205" s="56"/>
      <c r="X205" s="56"/>
      <c r="Y205" s="56"/>
      <c r="Z205" s="56"/>
    </row>
    <row r="206" spans="6:26" x14ac:dyDescent="0.3">
      <c r="F206" s="73"/>
      <c r="G206" s="84" t="s">
        <v>35</v>
      </c>
      <c r="H206" s="53">
        <f>SUMIF($Q$3:$Q$186,"&lt;=70%",$H$3:$H$186)-SUM($H$202:$H205)</f>
        <v>392460669.09300059</v>
      </c>
      <c r="I206" s="83">
        <f t="shared" si="59"/>
        <v>0.34280874659407035</v>
      </c>
      <c r="J206" s="56"/>
      <c r="K206" s="56"/>
      <c r="L206" s="56"/>
      <c r="O206" s="56"/>
      <c r="P206" s="56"/>
      <c r="Q206" s="56"/>
      <c r="R206" s="56"/>
      <c r="X206" s="56"/>
      <c r="Y206" s="56"/>
      <c r="Z206" s="56"/>
    </row>
    <row r="207" spans="6:26" x14ac:dyDescent="0.3">
      <c r="F207" s="73"/>
      <c r="G207" s="84" t="s">
        <v>36</v>
      </c>
      <c r="H207" s="53">
        <f>SUMIF($Q$3:$Q$186,"&lt;=80%",$H$3:$H$186)-SUM($H$202:$H206)</f>
        <v>220196278.63999951</v>
      </c>
      <c r="I207" s="83">
        <f t="shared" si="59"/>
        <v>0.19233828057142033</v>
      </c>
      <c r="J207" s="56"/>
      <c r="K207" s="56"/>
      <c r="L207" s="56"/>
      <c r="O207" s="56"/>
      <c r="P207" s="56"/>
      <c r="Q207" s="56"/>
      <c r="R207" s="56"/>
      <c r="X207" s="56"/>
      <c r="Y207" s="56"/>
      <c r="Z207" s="56"/>
    </row>
    <row r="208" spans="6:26" x14ac:dyDescent="0.3">
      <c r="F208" s="73"/>
      <c r="G208" s="84" t="s">
        <v>37</v>
      </c>
      <c r="H208" s="53">
        <f>SUMIF($Q$3:$Q$186,"&gt;80%",$H$3:$H$186)</f>
        <v>0</v>
      </c>
      <c r="I208" s="83">
        <f t="shared" si="59"/>
        <v>0</v>
      </c>
      <c r="J208" s="56"/>
      <c r="K208" s="56"/>
      <c r="L208" s="56"/>
      <c r="O208" s="56"/>
      <c r="P208" s="56"/>
      <c r="Q208" s="56"/>
      <c r="R208" s="56"/>
      <c r="X208" s="56"/>
      <c r="Y208" s="56"/>
      <c r="Z208" s="56"/>
    </row>
    <row r="209" spans="1:26" x14ac:dyDescent="0.3">
      <c r="F209" s="73"/>
      <c r="G209" s="73"/>
      <c r="H209" s="73"/>
      <c r="I209" s="85">
        <f>SUM(I202:I208)</f>
        <v>1</v>
      </c>
      <c r="J209" s="56"/>
      <c r="K209" s="56"/>
      <c r="L209" s="56"/>
      <c r="O209" s="56"/>
      <c r="P209" s="56"/>
      <c r="Q209" s="56"/>
      <c r="R209" s="56"/>
      <c r="X209" s="56"/>
      <c r="Y209" s="56"/>
      <c r="Z209" s="56"/>
    </row>
    <row r="210" spans="1:26" x14ac:dyDescent="0.3">
      <c r="A210" s="56"/>
      <c r="F210" s="82" t="s">
        <v>17</v>
      </c>
      <c r="G210" s="73"/>
      <c r="H210" s="73"/>
      <c r="I210" s="73"/>
      <c r="J210" s="56"/>
      <c r="K210" s="56"/>
      <c r="L210" s="56"/>
      <c r="O210" s="56"/>
      <c r="P210" s="56"/>
      <c r="Q210" s="56"/>
      <c r="R210" s="56"/>
      <c r="X210" s="56"/>
      <c r="Y210" s="56"/>
      <c r="Z210" s="56"/>
    </row>
    <row r="211" spans="1:26" x14ac:dyDescent="0.3">
      <c r="A211" s="56"/>
      <c r="F211" s="73"/>
      <c r="G211" s="73" t="s">
        <v>38</v>
      </c>
      <c r="H211" s="53">
        <f>SUMIF($T$3:$T$186,"&lt;=6",$H$3:$H$186)</f>
        <v>131311716.41100001</v>
      </c>
      <c r="I211" s="83">
        <f>H211/$H$191</f>
        <v>0.11469889459242569</v>
      </c>
      <c r="J211" s="56"/>
      <c r="K211" s="56"/>
      <c r="L211" s="56"/>
      <c r="O211" s="56"/>
      <c r="P211" s="56"/>
      <c r="Q211" s="56"/>
      <c r="R211" s="56"/>
      <c r="X211" s="56"/>
      <c r="Y211" s="56"/>
      <c r="Z211" s="56"/>
    </row>
    <row r="212" spans="1:26" x14ac:dyDescent="0.3">
      <c r="A212" s="56"/>
      <c r="F212" s="73"/>
      <c r="G212" s="84" t="s">
        <v>39</v>
      </c>
      <c r="H212" s="53">
        <f>SUMIF($T$3:$T$186,"&lt;=12",$H$3:$H$186)-H211</f>
        <v>65648264.439999968</v>
      </c>
      <c r="I212" s="83">
        <f>H212/$H$191</f>
        <v>5.7342814251329609E-2</v>
      </c>
      <c r="J212" s="56"/>
      <c r="K212" s="56"/>
      <c r="L212" s="56"/>
      <c r="O212" s="56"/>
      <c r="P212" s="56"/>
      <c r="Q212" s="56"/>
      <c r="R212" s="56"/>
      <c r="X212" s="56"/>
      <c r="Y212" s="56"/>
      <c r="Z212" s="56"/>
    </row>
    <row r="213" spans="1:26" x14ac:dyDescent="0.3">
      <c r="A213" s="56"/>
      <c r="F213" s="73"/>
      <c r="G213" s="84" t="s">
        <v>40</v>
      </c>
      <c r="H213" s="53">
        <f>SUMIF($T$3:$T$186,"&lt;=18",$H$3:$H$186)-SUM(H211:$H$212)</f>
        <v>150368507.83000007</v>
      </c>
      <c r="I213" s="83">
        <f>H213/$H$191</f>
        <v>0.13134472765271632</v>
      </c>
      <c r="J213" s="56"/>
      <c r="K213" s="56"/>
      <c r="L213" s="56"/>
      <c r="O213" s="56"/>
      <c r="P213" s="56"/>
      <c r="Q213" s="56"/>
      <c r="R213" s="56"/>
      <c r="X213" s="56"/>
      <c r="Y213" s="56"/>
      <c r="Z213" s="56"/>
    </row>
    <row r="214" spans="1:26" x14ac:dyDescent="0.3">
      <c r="A214" s="56"/>
      <c r="F214" s="73"/>
      <c r="G214" s="84" t="s">
        <v>41</v>
      </c>
      <c r="H214" s="53">
        <f>SUMIF($T$3:$T$186,"&lt;=24",$H$3:$H$186)-SUM(H211:$H$213)</f>
        <v>298468649.36800009</v>
      </c>
      <c r="I214" s="83">
        <f>H214/$H$191</f>
        <v>0.26070806999318236</v>
      </c>
      <c r="J214" s="56"/>
      <c r="K214" s="56"/>
      <c r="L214" s="56"/>
      <c r="O214" s="56"/>
      <c r="P214" s="56"/>
      <c r="Q214" s="56"/>
      <c r="R214" s="56"/>
      <c r="X214" s="56"/>
      <c r="Y214" s="56"/>
      <c r="Z214" s="56"/>
    </row>
    <row r="215" spans="1:26" x14ac:dyDescent="0.3">
      <c r="A215" s="56"/>
      <c r="F215" s="73"/>
      <c r="G215" s="84" t="s">
        <v>42</v>
      </c>
      <c r="H215" s="53">
        <f>SUMIF($T$3:$T$186,"&gt;24",$H$3:$H$186)</f>
        <v>499041414.0365001</v>
      </c>
      <c r="I215" s="83">
        <f>H215/$H$191</f>
        <v>0.43590549351034624</v>
      </c>
      <c r="J215" s="56"/>
      <c r="K215" s="56"/>
      <c r="L215" s="56"/>
      <c r="O215" s="56"/>
      <c r="P215" s="56"/>
      <c r="Q215" s="56"/>
      <c r="R215" s="56"/>
      <c r="X215" s="56"/>
      <c r="Y215" s="56"/>
      <c r="Z215" s="56"/>
    </row>
    <row r="216" spans="1:26" x14ac:dyDescent="0.3">
      <c r="A216" s="56"/>
      <c r="F216" s="73"/>
      <c r="G216" s="73"/>
      <c r="H216" s="73"/>
      <c r="I216" s="86">
        <f>SUBTOTAL(9,I211:I215)</f>
        <v>1.0000000000000002</v>
      </c>
      <c r="J216" s="56"/>
      <c r="K216" s="56"/>
      <c r="L216" s="56"/>
      <c r="O216" s="56"/>
      <c r="P216" s="56"/>
      <c r="Q216" s="56"/>
      <c r="R216" s="56"/>
      <c r="X216" s="56"/>
      <c r="Y216" s="56"/>
      <c r="Z216" s="56"/>
    </row>
    <row r="217" spans="1:26" x14ac:dyDescent="0.3">
      <c r="A217" s="56"/>
      <c r="F217" s="73"/>
      <c r="G217" s="73"/>
      <c r="H217" s="73"/>
      <c r="I217" s="73"/>
      <c r="J217" s="56"/>
      <c r="K217" s="56"/>
      <c r="L217" s="56"/>
      <c r="O217" s="56"/>
      <c r="P217" s="56"/>
      <c r="Q217" s="56"/>
      <c r="R217" s="56"/>
      <c r="X217" s="56"/>
      <c r="Y217" s="56"/>
      <c r="Z217" s="56"/>
    </row>
    <row r="218" spans="1:26" x14ac:dyDescent="0.3">
      <c r="A218" s="56"/>
      <c r="F218" s="82" t="s">
        <v>140</v>
      </c>
      <c r="G218" s="73"/>
      <c r="H218" s="73"/>
      <c r="I218" s="73"/>
      <c r="J218" s="56"/>
      <c r="K218" s="56"/>
      <c r="L218" s="56"/>
      <c r="O218" s="56"/>
      <c r="P218" s="56"/>
      <c r="Q218" s="56"/>
      <c r="R218" s="56"/>
      <c r="X218" s="56"/>
      <c r="Y218" s="56"/>
      <c r="Z218" s="56"/>
    </row>
    <row r="219" spans="1:26" x14ac:dyDescent="0.3">
      <c r="A219" s="56"/>
      <c r="F219" s="73"/>
      <c r="G219" s="73" t="s">
        <v>47</v>
      </c>
      <c r="H219" s="53">
        <f>SUMIF($E$3:$E$186,"&lt;=6%",$H$3:$H$186)</f>
        <v>177920626.81999999</v>
      </c>
      <c r="I219" s="81">
        <f>H219/$H$191</f>
        <v>0.15541110709094319</v>
      </c>
      <c r="J219" s="56"/>
      <c r="K219" s="56"/>
      <c r="L219" s="56"/>
      <c r="O219" s="56"/>
      <c r="P219" s="56"/>
      <c r="Q219" s="56"/>
      <c r="R219" s="56"/>
      <c r="X219" s="56"/>
      <c r="Y219" s="56"/>
      <c r="Z219" s="56"/>
    </row>
    <row r="220" spans="1:26" x14ac:dyDescent="0.3">
      <c r="A220" s="56"/>
      <c r="F220" s="73"/>
      <c r="G220" s="73" t="s">
        <v>141</v>
      </c>
      <c r="H220" s="53">
        <f>SUMIF($E$3:$E$186,"&lt;=7%",$H$3:$H$186)-SUM($H219:H$219)</f>
        <v>689822375.9860003</v>
      </c>
      <c r="I220" s="81">
        <f>H220/$H$191</f>
        <v>0.6025499182652283</v>
      </c>
      <c r="J220" s="56"/>
      <c r="K220" s="56"/>
      <c r="L220" s="56"/>
      <c r="O220" s="56"/>
      <c r="P220" s="56"/>
      <c r="Q220" s="56"/>
      <c r="R220" s="56"/>
      <c r="X220" s="56"/>
      <c r="Y220" s="56"/>
      <c r="Z220" s="56"/>
    </row>
    <row r="221" spans="1:26" x14ac:dyDescent="0.3">
      <c r="A221" s="56"/>
      <c r="F221" s="73"/>
      <c r="G221" s="73" t="s">
        <v>142</v>
      </c>
      <c r="H221" s="53">
        <f>SUMIF($E$3:$E$186,"&lt;=8%",$H$3:$H$186)-SUM($H219:H$220)</f>
        <v>219029580.2494998</v>
      </c>
      <c r="I221" s="81">
        <f>H221/$H$191</f>
        <v>0.19131918631714806</v>
      </c>
      <c r="J221" s="56"/>
      <c r="K221" s="56"/>
      <c r="L221" s="56"/>
      <c r="O221" s="56"/>
      <c r="P221" s="56"/>
      <c r="Q221" s="56"/>
      <c r="R221" s="56"/>
      <c r="X221" s="56"/>
      <c r="Y221" s="56"/>
      <c r="Z221" s="56"/>
    </row>
    <row r="222" spans="1:26" x14ac:dyDescent="0.3">
      <c r="A222" s="56"/>
      <c r="F222" s="73"/>
      <c r="G222" s="73" t="s">
        <v>143</v>
      </c>
      <c r="H222" s="53">
        <f>SUMIF($E$3:$E$186,"&lt;=9%",$H$3:$H$186)-SUM($H219:H$221)</f>
        <v>58065969.029999971</v>
      </c>
      <c r="I222" s="81">
        <f>H222/$H$191</f>
        <v>5.0719788326680518E-2</v>
      </c>
      <c r="J222" s="56"/>
      <c r="K222" s="56"/>
      <c r="L222" s="56"/>
      <c r="O222" s="56"/>
      <c r="P222" s="56"/>
      <c r="Q222" s="56"/>
      <c r="R222" s="56"/>
      <c r="X222" s="56"/>
      <c r="Y222" s="56"/>
      <c r="Z222" s="56"/>
    </row>
    <row r="223" spans="1:26" x14ac:dyDescent="0.3">
      <c r="A223" s="56"/>
      <c r="F223" s="73"/>
      <c r="G223" s="73" t="s">
        <v>144</v>
      </c>
      <c r="H223" s="53">
        <f>SUMIF($E$3:$E$186,"&lt;=9%",$H$3:$H$186)-SUM($H$219:H222)</f>
        <v>0</v>
      </c>
      <c r="I223" s="81">
        <f>H223/$H$191</f>
        <v>0</v>
      </c>
      <c r="J223" s="56"/>
      <c r="K223" s="56"/>
      <c r="L223" s="56"/>
      <c r="O223" s="56"/>
      <c r="P223" s="56"/>
      <c r="Q223" s="56"/>
      <c r="R223" s="56"/>
      <c r="X223" s="56"/>
      <c r="Y223" s="56"/>
      <c r="Z223" s="56"/>
    </row>
    <row r="224" spans="1:26" x14ac:dyDescent="0.3">
      <c r="A224" s="56"/>
      <c r="F224" s="73"/>
      <c r="G224" s="73"/>
      <c r="H224" s="73"/>
      <c r="I224" s="87">
        <f>SUBTOTAL(9,I219:I223)</f>
        <v>1</v>
      </c>
      <c r="J224" s="56"/>
      <c r="K224" s="56"/>
      <c r="L224" s="56"/>
      <c r="O224" s="56"/>
      <c r="P224" s="56"/>
      <c r="Q224" s="56"/>
      <c r="R224" s="56"/>
      <c r="X224" s="56"/>
      <c r="Y224" s="56"/>
      <c r="Z224" s="56"/>
    </row>
    <row r="225" spans="6:10" s="56" customFormat="1" x14ac:dyDescent="0.3">
      <c r="F225" s="73"/>
      <c r="G225" s="73"/>
      <c r="H225" s="73"/>
      <c r="I225" s="73"/>
    </row>
    <row r="226" spans="6:10" s="56" customFormat="1" x14ac:dyDescent="0.3">
      <c r="F226" s="82" t="s">
        <v>48</v>
      </c>
      <c r="G226" s="73"/>
      <c r="H226" s="73"/>
      <c r="I226" s="73"/>
      <c r="J226" s="58"/>
    </row>
    <row r="227" spans="6:10" s="56" customFormat="1" x14ac:dyDescent="0.3">
      <c r="F227" s="73"/>
      <c r="G227" s="73"/>
      <c r="H227" s="73"/>
      <c r="I227" s="73"/>
      <c r="J227" s="58"/>
    </row>
    <row r="228" spans="6:10" s="56" customFormat="1" x14ac:dyDescent="0.3">
      <c r="F228" s="73"/>
      <c r="G228" s="73">
        <v>7996</v>
      </c>
      <c r="H228" s="53">
        <f t="shared" ref="H228:H234" si="60">SUMIF($B$3:$B$186,$G228,$H$3:$H$186)</f>
        <v>109358809.53999999</v>
      </c>
      <c r="I228" s="83">
        <f t="shared" ref="I228:I234" si="61">H228/$H$191</f>
        <v>9.5523346362494571E-2</v>
      </c>
      <c r="J228" s="83">
        <f>I228</f>
        <v>9.5523346362494571E-2</v>
      </c>
    </row>
    <row r="229" spans="6:10" s="56" customFormat="1" x14ac:dyDescent="0.3">
      <c r="F229" s="73"/>
      <c r="G229" s="73">
        <v>7912</v>
      </c>
      <c r="H229" s="53">
        <f t="shared" si="60"/>
        <v>53007917.549999997</v>
      </c>
      <c r="I229" s="83">
        <f t="shared" si="61"/>
        <v>4.6301653148767483E-2</v>
      </c>
      <c r="J229" s="83">
        <f>SUM($I$228:$I229)</f>
        <v>0.14182499951126204</v>
      </c>
    </row>
    <row r="230" spans="6:10" s="56" customFormat="1" x14ac:dyDescent="0.3">
      <c r="F230" s="73"/>
      <c r="G230" s="73">
        <v>10235</v>
      </c>
      <c r="H230" s="53">
        <f t="shared" si="60"/>
        <v>47634430.009999998</v>
      </c>
      <c r="I230" s="83">
        <f t="shared" si="61"/>
        <v>4.1607989111850346E-2</v>
      </c>
      <c r="J230" s="83">
        <f>SUM($I$228:$I230)</f>
        <v>0.18343298862311239</v>
      </c>
    </row>
    <row r="231" spans="6:10" s="56" customFormat="1" x14ac:dyDescent="0.3">
      <c r="F231" s="73"/>
      <c r="G231" s="73">
        <v>8465</v>
      </c>
      <c r="H231" s="53">
        <f t="shared" si="60"/>
        <v>40858493.789999999</v>
      </c>
      <c r="I231" s="83">
        <f t="shared" si="61"/>
        <v>3.5689306335439132E-2</v>
      </c>
      <c r="J231" s="83">
        <f>SUM($I$228:$I231)</f>
        <v>0.21912229495855151</v>
      </c>
    </row>
    <row r="232" spans="6:10" s="56" customFormat="1" x14ac:dyDescent="0.3">
      <c r="F232" s="73"/>
      <c r="G232" s="73">
        <v>10441</v>
      </c>
      <c r="H232" s="53">
        <f t="shared" si="60"/>
        <v>38213477.399999999</v>
      </c>
      <c r="I232" s="83">
        <f t="shared" si="61"/>
        <v>3.3378922582916394E-2</v>
      </c>
      <c r="J232" s="83">
        <f>SUM($I$228:$I232)</f>
        <v>0.25250121754146793</v>
      </c>
    </row>
    <row r="233" spans="6:10" s="56" customFormat="1" x14ac:dyDescent="0.3">
      <c r="F233" s="73"/>
      <c r="G233" s="73">
        <v>8269</v>
      </c>
      <c r="H233" s="53">
        <f t="shared" si="60"/>
        <v>36116113.219999999</v>
      </c>
      <c r="I233" s="83">
        <f t="shared" si="61"/>
        <v>3.1546905154625451E-2</v>
      </c>
      <c r="J233" s="83">
        <f>SUM($I$228:$I233)</f>
        <v>0.28404812269609336</v>
      </c>
    </row>
    <row r="234" spans="6:10" s="56" customFormat="1" x14ac:dyDescent="0.3">
      <c r="F234" s="73"/>
      <c r="G234" s="73">
        <v>10328</v>
      </c>
      <c r="H234" s="53">
        <f t="shared" si="60"/>
        <v>35429205.799999997</v>
      </c>
      <c r="I234" s="83">
        <f t="shared" si="61"/>
        <v>3.0946901408465181E-2</v>
      </c>
      <c r="J234" s="83">
        <f>SUM($I$228:$I234)</f>
        <v>0.31499502410455854</v>
      </c>
    </row>
    <row r="235" spans="6:10" s="56" customFormat="1" x14ac:dyDescent="0.3">
      <c r="F235" s="73"/>
      <c r="G235" s="73"/>
      <c r="H235" s="73"/>
      <c r="I235" s="88">
        <f>SUM(I228:I234)</f>
        <v>0.31499502410455854</v>
      </c>
      <c r="J235" s="88"/>
    </row>
    <row r="236" spans="6:10" s="56" customFormat="1" x14ac:dyDescent="0.3">
      <c r="F236" s="73"/>
      <c r="G236" s="73"/>
      <c r="H236" s="73"/>
      <c r="I236" s="73"/>
      <c r="J236" s="58"/>
    </row>
    <row r="237" spans="6:10" s="56" customFormat="1" x14ac:dyDescent="0.3">
      <c r="F237" s="82" t="s">
        <v>49</v>
      </c>
      <c r="G237" s="73"/>
      <c r="H237" s="73"/>
      <c r="I237" s="73"/>
      <c r="J237" s="58"/>
    </row>
    <row r="238" spans="6:10" s="56" customFormat="1" x14ac:dyDescent="0.3">
      <c r="F238" s="73"/>
      <c r="G238" s="73"/>
      <c r="H238" s="82" t="s">
        <v>50</v>
      </c>
      <c r="I238" s="82" t="s">
        <v>51</v>
      </c>
      <c r="J238" s="58"/>
    </row>
    <row r="239" spans="6:10" s="56" customFormat="1" x14ac:dyDescent="0.3">
      <c r="F239" s="89" t="s">
        <v>52</v>
      </c>
      <c r="G239" s="90" t="s">
        <v>53</v>
      </c>
      <c r="H239" s="53">
        <f t="shared" ref="H239:H257" si="62">SUMIF($M$3:$M$186,$G239,$H$3:$H$186)</f>
        <v>703976027.87400007</v>
      </c>
      <c r="I239" s="81">
        <f t="shared" ref="I239:I257" si="63">H239/$H$191</f>
        <v>0.61491292950573617</v>
      </c>
      <c r="J239" s="58"/>
    </row>
    <row r="240" spans="6:10" s="56" customFormat="1" x14ac:dyDescent="0.3">
      <c r="F240" s="89" t="s">
        <v>52</v>
      </c>
      <c r="G240" s="89" t="s">
        <v>54</v>
      </c>
      <c r="H240" s="53">
        <f t="shared" si="62"/>
        <v>3396097.52</v>
      </c>
      <c r="I240" s="81">
        <f t="shared" si="63"/>
        <v>2.966442310851154E-3</v>
      </c>
      <c r="J240" s="58"/>
    </row>
    <row r="241" spans="6:10" s="56" customFormat="1" x14ac:dyDescent="0.3">
      <c r="F241" s="89" t="s">
        <v>52</v>
      </c>
      <c r="G241" s="89" t="s">
        <v>55</v>
      </c>
      <c r="H241" s="53">
        <f t="shared" si="62"/>
        <v>11060674.77</v>
      </c>
      <c r="I241" s="81">
        <f t="shared" si="63"/>
        <v>9.6613402386312684E-3</v>
      </c>
      <c r="J241" s="58"/>
    </row>
    <row r="242" spans="6:10" s="56" customFormat="1" x14ac:dyDescent="0.3">
      <c r="F242" s="89" t="s">
        <v>52</v>
      </c>
      <c r="G242" s="89" t="s">
        <v>56</v>
      </c>
      <c r="H242" s="53">
        <f t="shared" si="62"/>
        <v>11363207.73</v>
      </c>
      <c r="I242" s="81">
        <f t="shared" si="63"/>
        <v>9.9255984254724514E-3</v>
      </c>
    </row>
    <row r="243" spans="6:10" s="56" customFormat="1" x14ac:dyDescent="0.3">
      <c r="F243" s="89" t="s">
        <v>52</v>
      </c>
      <c r="G243" s="89" t="s">
        <v>57</v>
      </c>
      <c r="H243" s="53">
        <f t="shared" si="62"/>
        <v>6746271.7000000002</v>
      </c>
      <c r="I243" s="81">
        <f t="shared" si="63"/>
        <v>5.8927712450900834E-3</v>
      </c>
    </row>
    <row r="244" spans="6:10" s="56" customFormat="1" x14ac:dyDescent="0.3">
      <c r="F244" s="89" t="s">
        <v>52</v>
      </c>
      <c r="G244" s="89" t="s">
        <v>58</v>
      </c>
      <c r="H244" s="53">
        <f t="shared" si="62"/>
        <v>1428984.05</v>
      </c>
      <c r="I244" s="81">
        <f t="shared" si="63"/>
        <v>1.2481970033214598E-3</v>
      </c>
    </row>
    <row r="245" spans="6:10" s="56" customFormat="1" x14ac:dyDescent="0.3">
      <c r="F245" s="89" t="s">
        <v>52</v>
      </c>
      <c r="G245" s="89" t="s">
        <v>59</v>
      </c>
      <c r="H245" s="53">
        <f t="shared" si="62"/>
        <v>1650416.71</v>
      </c>
      <c r="I245" s="81">
        <f t="shared" si="63"/>
        <v>1.4416152452182112E-3</v>
      </c>
    </row>
    <row r="246" spans="6:10" s="56" customFormat="1" x14ac:dyDescent="0.3">
      <c r="F246" s="89" t="s">
        <v>52</v>
      </c>
      <c r="G246" s="89" t="s">
        <v>60</v>
      </c>
      <c r="H246" s="53">
        <f t="shared" si="62"/>
        <v>0</v>
      </c>
      <c r="I246" s="81">
        <f t="shared" si="63"/>
        <v>0</v>
      </c>
    </row>
    <row r="247" spans="6:10" s="56" customFormat="1" x14ac:dyDescent="0.3">
      <c r="F247" s="89" t="s">
        <v>52</v>
      </c>
      <c r="G247" s="89" t="s">
        <v>61</v>
      </c>
      <c r="H247" s="53">
        <f t="shared" si="62"/>
        <v>1647900.75</v>
      </c>
      <c r="I247" s="81">
        <f t="shared" si="63"/>
        <v>1.4394175903651172E-3</v>
      </c>
    </row>
    <row r="248" spans="6:10" s="56" customFormat="1" x14ac:dyDescent="0.3">
      <c r="F248" s="89" t="s">
        <v>52</v>
      </c>
      <c r="G248" s="89" t="s">
        <v>62</v>
      </c>
      <c r="H248" s="53">
        <f t="shared" si="62"/>
        <v>14080109.880000001</v>
      </c>
      <c r="I248" s="81">
        <f t="shared" si="63"/>
        <v>1.2298773354855066E-2</v>
      </c>
    </row>
    <row r="249" spans="6:10" s="56" customFormat="1" x14ac:dyDescent="0.3">
      <c r="F249" s="89" t="s">
        <v>63</v>
      </c>
      <c r="G249" s="89" t="s">
        <v>64</v>
      </c>
      <c r="H249" s="53">
        <f t="shared" si="62"/>
        <v>16057786.459999997</v>
      </c>
      <c r="I249" s="81">
        <f t="shared" si="63"/>
        <v>1.4026245386957193E-2</v>
      </c>
    </row>
    <row r="250" spans="6:10" s="56" customFormat="1" x14ac:dyDescent="0.3">
      <c r="F250" s="89" t="s">
        <v>63</v>
      </c>
      <c r="G250" s="89" t="s">
        <v>65</v>
      </c>
      <c r="H250" s="53">
        <f t="shared" si="62"/>
        <v>20453547.349999998</v>
      </c>
      <c r="I250" s="81">
        <f t="shared" si="63"/>
        <v>1.7865879265456869E-2</v>
      </c>
    </row>
    <row r="251" spans="6:10" s="56" customFormat="1" x14ac:dyDescent="0.3">
      <c r="F251" s="89" t="s">
        <v>66</v>
      </c>
      <c r="G251" s="89" t="s">
        <v>67</v>
      </c>
      <c r="H251" s="53">
        <f t="shared" si="62"/>
        <v>213088450.7155</v>
      </c>
      <c r="I251" s="81">
        <f t="shared" si="63"/>
        <v>0.18612969516734609</v>
      </c>
    </row>
    <row r="252" spans="6:10" s="56" customFormat="1" x14ac:dyDescent="0.3">
      <c r="F252" s="89" t="s">
        <v>66</v>
      </c>
      <c r="G252" s="89" t="s">
        <v>68</v>
      </c>
      <c r="H252" s="53">
        <f t="shared" si="62"/>
        <v>393124.98</v>
      </c>
      <c r="I252" s="81">
        <f t="shared" si="63"/>
        <v>3.4338901261130852E-4</v>
      </c>
    </row>
    <row r="253" spans="6:10" s="56" customFormat="1" x14ac:dyDescent="0.3">
      <c r="F253" s="89" t="s">
        <v>69</v>
      </c>
      <c r="G253" s="89" t="s">
        <v>70</v>
      </c>
      <c r="H253" s="53">
        <f t="shared" si="62"/>
        <v>51755427.859999999</v>
      </c>
      <c r="I253" s="81">
        <f t="shared" si="63"/>
        <v>4.5207621428994947E-2</v>
      </c>
    </row>
    <row r="254" spans="6:10" s="56" customFormat="1" x14ac:dyDescent="0.3">
      <c r="F254" s="89" t="s">
        <v>69</v>
      </c>
      <c r="G254" s="89" t="s">
        <v>71</v>
      </c>
      <c r="H254" s="53">
        <f t="shared" si="62"/>
        <v>61640073.616000012</v>
      </c>
      <c r="I254" s="81">
        <f t="shared" si="63"/>
        <v>5.3841717248002442E-2</v>
      </c>
    </row>
    <row r="255" spans="6:10" s="56" customFormat="1" x14ac:dyDescent="0.3">
      <c r="F255" s="89" t="s">
        <v>69</v>
      </c>
      <c r="G255" s="89" t="s">
        <v>72</v>
      </c>
      <c r="H255" s="53">
        <f t="shared" si="62"/>
        <v>3578469.17</v>
      </c>
      <c r="I255" s="81">
        <f t="shared" si="63"/>
        <v>3.1257413226356383E-3</v>
      </c>
    </row>
    <row r="256" spans="6:10" s="56" customFormat="1" x14ac:dyDescent="0.3">
      <c r="F256" s="89" t="s">
        <v>69</v>
      </c>
      <c r="G256" s="89" t="s">
        <v>73</v>
      </c>
      <c r="H256" s="53">
        <f t="shared" si="62"/>
        <v>3125969.05</v>
      </c>
      <c r="I256" s="81">
        <f t="shared" si="63"/>
        <v>2.7304889796954906E-3</v>
      </c>
    </row>
    <row r="257" spans="6:9" s="56" customFormat="1" x14ac:dyDescent="0.3">
      <c r="F257" s="89" t="s">
        <v>74</v>
      </c>
      <c r="G257" s="89" t="s">
        <v>75</v>
      </c>
      <c r="H257" s="53">
        <f t="shared" si="62"/>
        <v>19396011.899999999</v>
      </c>
      <c r="I257" s="81">
        <f t="shared" si="63"/>
        <v>1.6942137268759136E-2</v>
      </c>
    </row>
    <row r="258" spans="6:9" s="56" customFormat="1" x14ac:dyDescent="0.3">
      <c r="F258" s="89"/>
      <c r="G258" s="89"/>
      <c r="H258" s="53"/>
      <c r="I258" s="81"/>
    </row>
    <row r="259" spans="6:9" s="56" customFormat="1" x14ac:dyDescent="0.3">
      <c r="F259" s="73"/>
      <c r="G259" s="73"/>
      <c r="H259" s="73"/>
      <c r="I259" s="91">
        <f>SUM(I239:I258)</f>
        <v>1.0000000000000004</v>
      </c>
    </row>
  </sheetData>
  <autoFilter ref="A2:Z191" xr:uid="{00000000-0009-0000-0000-000002000000}"/>
  <pageMargins left="0.7" right="0.7" top="0.75" bottom="0.75" header="0.3" footer="0.3"/>
  <pageSetup paperSize="9" scale="1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C24CE-B701-4E8E-8412-864AE7F5B545}">
  <sheetPr>
    <pageSetUpPr fitToPage="1"/>
  </sheetPr>
  <dimension ref="A1:AG191"/>
  <sheetViews>
    <sheetView zoomScale="85" zoomScaleNormal="85" workbookViewId="0">
      <pane xSplit="1" ySplit="2" topLeftCell="B3" activePane="bottomRight" state="frozen"/>
      <selection activeCell="B85" sqref="B85"/>
      <selection pane="topRight" activeCell="B85" sqref="B85"/>
      <selection pane="bottomLeft" activeCell="B85" sqref="B85"/>
      <selection pane="bottomRight" sqref="A1:XFD1"/>
    </sheetView>
  </sheetViews>
  <sheetFormatPr defaultColWidth="4" defaultRowHeight="14.4" x14ac:dyDescent="0.3"/>
  <cols>
    <col min="1" max="1" width="6.21875" style="55" bestFit="1" customWidth="1"/>
    <col min="2" max="2" width="15.44140625" style="56" bestFit="1" customWidth="1"/>
    <col min="3" max="3" width="9.109375" style="56" customWidth="1"/>
    <col min="4" max="5" width="15" style="56" customWidth="1"/>
    <col min="6" max="6" width="7.88671875" style="56" bestFit="1" customWidth="1"/>
    <col min="7" max="7" width="14.33203125" style="57" bestFit="1" customWidth="1"/>
    <col min="8" max="8" width="21.88671875" style="57" bestFit="1" customWidth="1"/>
    <col min="9" max="9" width="11.88671875" style="56" bestFit="1" customWidth="1"/>
    <col min="10" max="10" width="16" style="58" customWidth="1"/>
    <col min="11" max="11" width="12.21875" style="58" bestFit="1" customWidth="1"/>
    <col min="12" max="12" width="12.21875" style="58" customWidth="1"/>
    <col min="13" max="13" width="21.6640625" style="56" bestFit="1" customWidth="1"/>
    <col min="14" max="14" width="22" style="56" customWidth="1"/>
    <col min="15" max="15" width="12.77734375" style="77" bestFit="1" customWidth="1"/>
    <col min="16" max="16" width="13.88671875" style="78" customWidth="1"/>
    <col min="17" max="17" width="12.5546875" style="59" customWidth="1"/>
    <col min="18" max="18" width="7.88671875" style="60" customWidth="1"/>
    <col min="19" max="19" width="9.5546875" style="56" customWidth="1"/>
    <col min="20" max="20" width="11.88671875" style="56" customWidth="1"/>
    <col min="21" max="21" width="18.109375" style="56" bestFit="1" customWidth="1"/>
    <col min="22" max="22" width="12.44140625" style="56" customWidth="1"/>
    <col min="23" max="23" width="9.44140625" style="56" customWidth="1"/>
    <col min="24" max="24" width="9.5546875" style="61" customWidth="1"/>
    <col min="25" max="25" width="7.6640625" style="61" customWidth="1"/>
    <col min="26" max="26" width="12.5546875" style="61" customWidth="1"/>
    <col min="27" max="27" width="13.6640625" style="56" customWidth="1"/>
    <col min="28" max="28" width="9.21875" style="56" customWidth="1"/>
    <col min="29" max="29" width="6.21875" style="56" bestFit="1" customWidth="1"/>
    <col min="30" max="30" width="4" style="56"/>
    <col min="31" max="31" width="6.21875" style="56" bestFit="1" customWidth="1"/>
    <col min="32" max="32" width="4" style="56"/>
    <col min="33" max="33" width="6.88671875" style="56" bestFit="1" customWidth="1"/>
    <col min="34" max="16384" width="4" style="56"/>
  </cols>
  <sheetData>
    <row r="1" spans="1:33" ht="18.600000000000001" hidden="1" customHeight="1" x14ac:dyDescent="0.3">
      <c r="A1" s="55">
        <v>1</v>
      </c>
      <c r="B1" s="56">
        <v>25</v>
      </c>
      <c r="C1" s="56">
        <v>42</v>
      </c>
      <c r="D1" s="56">
        <v>7</v>
      </c>
      <c r="G1" s="56">
        <v>31</v>
      </c>
      <c r="H1" s="57">
        <v>30</v>
      </c>
      <c r="J1" s="56">
        <v>23</v>
      </c>
      <c r="M1" s="56">
        <v>21</v>
      </c>
      <c r="N1" s="56">
        <v>22</v>
      </c>
      <c r="O1" s="56">
        <v>16</v>
      </c>
      <c r="P1" s="56">
        <v>13</v>
      </c>
      <c r="S1" s="56">
        <v>41</v>
      </c>
      <c r="V1" s="56">
        <v>10</v>
      </c>
      <c r="Z1" s="62">
        <v>44500</v>
      </c>
      <c r="AA1" s="55">
        <v>10</v>
      </c>
      <c r="AB1" s="55"/>
    </row>
    <row r="2" spans="1:33" s="65" customFormat="1" ht="40.200000000000003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139</v>
      </c>
      <c r="F2" s="2" t="s">
        <v>4</v>
      </c>
      <c r="G2" s="63" t="s">
        <v>5</v>
      </c>
      <c r="H2" s="63" t="s">
        <v>6</v>
      </c>
      <c r="I2" s="63" t="s">
        <v>7</v>
      </c>
      <c r="J2" s="2" t="s">
        <v>8</v>
      </c>
      <c r="K2" s="2" t="s">
        <v>9</v>
      </c>
      <c r="L2" s="2" t="s">
        <v>126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1" t="s">
        <v>19</v>
      </c>
      <c r="W2" s="2" t="s">
        <v>20</v>
      </c>
      <c r="X2" s="64" t="s">
        <v>15</v>
      </c>
      <c r="Y2" s="64" t="s">
        <v>14</v>
      </c>
      <c r="Z2" s="64" t="s">
        <v>17</v>
      </c>
      <c r="AA2" s="65" t="s">
        <v>21</v>
      </c>
      <c r="AB2" s="65" t="s">
        <v>22</v>
      </c>
      <c r="AC2" s="56"/>
    </row>
    <row r="3" spans="1:33" x14ac:dyDescent="0.3">
      <c r="A3" s="3">
        <v>555</v>
      </c>
      <c r="B3" s="67">
        <v>8089</v>
      </c>
      <c r="C3" s="52">
        <v>0.09</v>
      </c>
      <c r="D3" s="56" t="s">
        <v>76</v>
      </c>
      <c r="E3" s="52">
        <f>C3-IF(D3="Prime",7%-3.5%,3.675%)</f>
        <v>5.4999999999999993E-2</v>
      </c>
      <c r="F3" s="56">
        <f t="shared" ref="F3:F34" si="0">I3-T3</f>
        <v>23</v>
      </c>
      <c r="G3" s="56">
        <v>38423.58</v>
      </c>
      <c r="H3" s="56">
        <v>406449.76</v>
      </c>
      <c r="I3" s="56">
        <v>180</v>
      </c>
      <c r="J3" s="58">
        <v>39326</v>
      </c>
      <c r="K3" s="58">
        <v>39722</v>
      </c>
      <c r="L3" s="56">
        <v>5488746.0499999998</v>
      </c>
      <c r="M3" s="66" t="s">
        <v>53</v>
      </c>
      <c r="N3" s="66" t="s">
        <v>77</v>
      </c>
      <c r="O3" s="56">
        <v>8485974.4499999993</v>
      </c>
      <c r="P3" s="56">
        <v>6050813.96</v>
      </c>
      <c r="Q3" s="68">
        <f>$H3/$U3</f>
        <v>2.4827963491142586E-2</v>
      </c>
      <c r="R3" s="69">
        <f t="shared" ref="R3:R34" si="1">P3/O3</f>
        <v>0.71303702310817119</v>
      </c>
      <c r="S3" s="56">
        <v>0</v>
      </c>
      <c r="T3" s="56">
        <f t="shared" ref="T3:T34" si="2">+DATEDIF(EOMONTH($K3,-1),$Z$1+1,"M")</f>
        <v>157</v>
      </c>
      <c r="U3" s="56">
        <v>16370644.34</v>
      </c>
      <c r="V3" s="70" t="s">
        <v>124</v>
      </c>
      <c r="W3" s="56" t="b">
        <v>0</v>
      </c>
      <c r="X3" s="71">
        <f t="shared" ref="X3:X34" si="3">+P3/O3</f>
        <v>0.71303702310817119</v>
      </c>
      <c r="Y3" s="71">
        <f t="shared" ref="Y3:Y34" si="4">+H3/U3</f>
        <v>2.4827963491142586E-2</v>
      </c>
      <c r="Z3" s="61">
        <f t="shared" ref="Z3:Z34" si="5">+DATEDIF(EOMONTH(K3,-1),$Z$1+1,"M")</f>
        <v>157</v>
      </c>
      <c r="AA3" s="58">
        <v>0</v>
      </c>
      <c r="AB3" s="61" t="str">
        <f>IFERROR(IF(DATEDIF($Z$1+1,EOMONTH(AA3,-1),"M")&gt;0,"Yes","No"),"No")</f>
        <v>No</v>
      </c>
      <c r="AG3" s="56" t="b">
        <v>1</v>
      </c>
    </row>
    <row r="4" spans="1:33" x14ac:dyDescent="0.3">
      <c r="A4" s="3">
        <v>922</v>
      </c>
      <c r="B4" s="67">
        <v>8155</v>
      </c>
      <c r="C4" s="52">
        <v>0.11</v>
      </c>
      <c r="D4" s="56" t="s">
        <v>76</v>
      </c>
      <c r="E4" s="52">
        <f t="shared" ref="E4:E67" si="6">C4-IF(D4="Prime",7%-3.5%,3.675%)</f>
        <v>7.4999999999999997E-2</v>
      </c>
      <c r="F4" s="56">
        <f t="shared" si="0"/>
        <v>59</v>
      </c>
      <c r="G4" s="56">
        <v>121649.72</v>
      </c>
      <c r="H4" s="56">
        <v>4084834.65</v>
      </c>
      <c r="I4" s="56">
        <v>180</v>
      </c>
      <c r="J4" s="58">
        <v>40210</v>
      </c>
      <c r="K4" s="58">
        <v>40817</v>
      </c>
      <c r="L4" s="56">
        <v>7610818.9500000002</v>
      </c>
      <c r="M4" s="66" t="s">
        <v>53</v>
      </c>
      <c r="N4" s="66" t="s">
        <v>78</v>
      </c>
      <c r="O4" s="56">
        <v>5756247.6200000001</v>
      </c>
      <c r="P4" s="56">
        <v>4104431</v>
      </c>
      <c r="Q4" s="68">
        <f t="shared" ref="Q4:Q67" si="7">$H4/$U4</f>
        <v>0.28037309251066728</v>
      </c>
      <c r="R4" s="69">
        <f t="shared" si="1"/>
        <v>0.71303933933266062</v>
      </c>
      <c r="S4" s="56">
        <v>0</v>
      </c>
      <c r="T4" s="56">
        <f t="shared" si="2"/>
        <v>121</v>
      </c>
      <c r="U4" s="56">
        <v>14569282</v>
      </c>
      <c r="V4" s="70" t="s">
        <v>124</v>
      </c>
      <c r="W4" s="56" t="b">
        <v>0</v>
      </c>
      <c r="X4" s="71">
        <f t="shared" si="3"/>
        <v>0.71303933933266062</v>
      </c>
      <c r="Y4" s="71">
        <f t="shared" si="4"/>
        <v>0.28037309251066728</v>
      </c>
      <c r="Z4" s="61">
        <f t="shared" si="5"/>
        <v>121</v>
      </c>
      <c r="AA4" s="58">
        <v>0</v>
      </c>
      <c r="AB4" s="61" t="str">
        <f t="shared" ref="AB4:AB67" si="8">IFERROR(IF(DATEDIF($Z$1+1,EOMONTH(AA4,-1),"M")&gt;0,"Yes","No"),"No")</f>
        <v>No</v>
      </c>
      <c r="AG4" s="56" t="b">
        <v>1</v>
      </c>
    </row>
    <row r="5" spans="1:33" x14ac:dyDescent="0.3">
      <c r="A5" s="3">
        <v>993</v>
      </c>
      <c r="B5" s="67">
        <v>8105</v>
      </c>
      <c r="C5" s="52">
        <v>9.5000000000000001E-2</v>
      </c>
      <c r="D5" s="56" t="s">
        <v>76</v>
      </c>
      <c r="E5" s="52">
        <f t="shared" si="6"/>
        <v>0.06</v>
      </c>
      <c r="F5" s="56">
        <f t="shared" si="0"/>
        <v>61</v>
      </c>
      <c r="G5" s="56">
        <v>132485.17000000001</v>
      </c>
      <c r="H5" s="56">
        <v>5120281.46</v>
      </c>
      <c r="I5" s="56">
        <v>180</v>
      </c>
      <c r="J5" s="58">
        <v>40391</v>
      </c>
      <c r="K5" s="58">
        <v>40878</v>
      </c>
      <c r="L5" s="56">
        <v>11031164.5</v>
      </c>
      <c r="M5" s="66" t="s">
        <v>53</v>
      </c>
      <c r="N5" s="66" t="s">
        <v>78</v>
      </c>
      <c r="O5" s="56">
        <v>15430162.68</v>
      </c>
      <c r="P5" s="56">
        <v>11400940</v>
      </c>
      <c r="Q5" s="68">
        <f t="shared" si="7"/>
        <v>0.15217673916786309</v>
      </c>
      <c r="R5" s="69">
        <f t="shared" si="1"/>
        <v>0.73887360985360651</v>
      </c>
      <c r="S5" s="56">
        <v>0</v>
      </c>
      <c r="T5" s="56">
        <f t="shared" si="2"/>
        <v>119</v>
      </c>
      <c r="U5" s="56">
        <v>33646939</v>
      </c>
      <c r="V5" s="70" t="s">
        <v>124</v>
      </c>
      <c r="W5" s="56" t="b">
        <v>0</v>
      </c>
      <c r="X5" s="71">
        <f t="shared" si="3"/>
        <v>0.73887360985360651</v>
      </c>
      <c r="Y5" s="71">
        <f t="shared" si="4"/>
        <v>0.15217673916786309</v>
      </c>
      <c r="Z5" s="61">
        <f t="shared" si="5"/>
        <v>119</v>
      </c>
      <c r="AA5" s="58">
        <v>0</v>
      </c>
      <c r="AB5" s="61" t="str">
        <f t="shared" si="8"/>
        <v>No</v>
      </c>
      <c r="AG5" s="56" t="b">
        <v>1</v>
      </c>
    </row>
    <row r="6" spans="1:33" x14ac:dyDescent="0.3">
      <c r="A6" s="3">
        <v>1158</v>
      </c>
      <c r="B6" s="67">
        <v>8583</v>
      </c>
      <c r="C6" s="52">
        <v>0.115</v>
      </c>
      <c r="D6" s="56" t="s">
        <v>76</v>
      </c>
      <c r="E6" s="52">
        <f t="shared" si="6"/>
        <v>0.08</v>
      </c>
      <c r="F6" s="56">
        <f t="shared" si="0"/>
        <v>64</v>
      </c>
      <c r="G6" s="56">
        <v>72108.990000000005</v>
      </c>
      <c r="H6" s="56">
        <v>3134890.27</v>
      </c>
      <c r="I6" s="56">
        <v>180</v>
      </c>
      <c r="J6" s="58">
        <v>40909</v>
      </c>
      <c r="K6" s="58">
        <v>40969</v>
      </c>
      <c r="L6" s="56">
        <v>4249210</v>
      </c>
      <c r="M6" s="66" t="s">
        <v>53</v>
      </c>
      <c r="N6" s="66" t="s">
        <v>79</v>
      </c>
      <c r="O6" s="56">
        <v>7057600</v>
      </c>
      <c r="P6" s="56">
        <v>5263734</v>
      </c>
      <c r="Q6" s="68">
        <f t="shared" si="7"/>
        <v>0.34991961278225742</v>
      </c>
      <c r="R6" s="69">
        <f t="shared" si="1"/>
        <v>0.74582492632056219</v>
      </c>
      <c r="S6" s="56">
        <v>0</v>
      </c>
      <c r="T6" s="56">
        <f t="shared" si="2"/>
        <v>116</v>
      </c>
      <c r="U6" s="56">
        <v>8958887</v>
      </c>
      <c r="V6" s="70" t="s">
        <v>124</v>
      </c>
      <c r="W6" s="56" t="b">
        <v>0</v>
      </c>
      <c r="X6" s="71">
        <f t="shared" si="3"/>
        <v>0.74582492632056219</v>
      </c>
      <c r="Y6" s="71">
        <f t="shared" si="4"/>
        <v>0.34991961278225742</v>
      </c>
      <c r="Z6" s="61">
        <f t="shared" si="5"/>
        <v>116</v>
      </c>
      <c r="AA6" s="58">
        <v>0</v>
      </c>
      <c r="AB6" s="61" t="str">
        <f>IFERROR(IF(DATEDIF($Z$1+1,EOMONTH(AA6,-1),"M")&gt;0,"Yes","No"),"No")</f>
        <v>No</v>
      </c>
      <c r="AG6" s="56" t="b">
        <v>1</v>
      </c>
    </row>
    <row r="7" spans="1:33" x14ac:dyDescent="0.3">
      <c r="A7" s="3">
        <v>1225</v>
      </c>
      <c r="B7" s="67">
        <v>8050</v>
      </c>
      <c r="C7" s="52">
        <v>0.11</v>
      </c>
      <c r="D7" s="56" t="s">
        <v>76</v>
      </c>
      <c r="E7" s="52">
        <f t="shared" si="6"/>
        <v>7.4999999999999997E-2</v>
      </c>
      <c r="F7" s="56">
        <f t="shared" si="0"/>
        <v>75</v>
      </c>
      <c r="G7" s="56">
        <v>56936.19</v>
      </c>
      <c r="H7" s="56">
        <v>3069272.88</v>
      </c>
      <c r="I7" s="56">
        <v>180</v>
      </c>
      <c r="J7" s="58">
        <v>41214</v>
      </c>
      <c r="K7" s="58">
        <v>41306</v>
      </c>
      <c r="L7" s="56">
        <v>4476361.2</v>
      </c>
      <c r="M7" s="66" t="s">
        <v>53</v>
      </c>
      <c r="N7" s="66" t="s">
        <v>77</v>
      </c>
      <c r="O7" s="56">
        <v>6220000</v>
      </c>
      <c r="P7" s="56">
        <v>4989818</v>
      </c>
      <c r="Q7" s="68">
        <f t="shared" si="7"/>
        <v>0.33839833296582139</v>
      </c>
      <c r="R7" s="69">
        <f t="shared" si="1"/>
        <v>0.80222154340836016</v>
      </c>
      <c r="S7" s="56">
        <v>0</v>
      </c>
      <c r="T7" s="56">
        <f t="shared" si="2"/>
        <v>105</v>
      </c>
      <c r="U7" s="56">
        <v>9070000</v>
      </c>
      <c r="V7" s="70" t="s">
        <v>124</v>
      </c>
      <c r="W7" s="56" t="b">
        <v>0</v>
      </c>
      <c r="X7" s="71">
        <f t="shared" si="3"/>
        <v>0.80222154340836016</v>
      </c>
      <c r="Y7" s="71">
        <f t="shared" si="4"/>
        <v>0.33839833296582139</v>
      </c>
      <c r="Z7" s="61">
        <f t="shared" si="5"/>
        <v>105</v>
      </c>
      <c r="AA7" s="58">
        <v>44043</v>
      </c>
      <c r="AB7" s="61" t="str">
        <f t="shared" si="8"/>
        <v>No</v>
      </c>
      <c r="AG7" s="56" t="b">
        <v>1</v>
      </c>
    </row>
    <row r="8" spans="1:33" x14ac:dyDescent="0.3">
      <c r="A8" s="3">
        <v>1236</v>
      </c>
      <c r="B8" s="67">
        <v>8823</v>
      </c>
      <c r="C8" s="52">
        <v>0.115</v>
      </c>
      <c r="D8" s="56" t="s">
        <v>76</v>
      </c>
      <c r="E8" s="52">
        <f t="shared" si="6"/>
        <v>0.08</v>
      </c>
      <c r="F8" s="56">
        <f t="shared" si="0"/>
        <v>82</v>
      </c>
      <c r="G8" s="56">
        <v>41470.050000000003</v>
      </c>
      <c r="H8" s="56">
        <v>2246308.46</v>
      </c>
      <c r="I8" s="56">
        <v>180</v>
      </c>
      <c r="J8" s="58">
        <v>41306</v>
      </c>
      <c r="K8" s="58">
        <v>41518</v>
      </c>
      <c r="L8" s="56">
        <v>3048373.59</v>
      </c>
      <c r="M8" s="66" t="s">
        <v>53</v>
      </c>
      <c r="N8" s="66" t="s">
        <v>80</v>
      </c>
      <c r="O8" s="56">
        <v>4095547.2</v>
      </c>
      <c r="P8" s="56">
        <v>3276584</v>
      </c>
      <c r="Q8" s="68">
        <f t="shared" si="7"/>
        <v>0.41202584511019441</v>
      </c>
      <c r="R8" s="69">
        <f t="shared" si="1"/>
        <v>0.8000357070723052</v>
      </c>
      <c r="S8" s="56">
        <v>0</v>
      </c>
      <c r="T8" s="56">
        <f t="shared" si="2"/>
        <v>98</v>
      </c>
      <c r="U8" s="56">
        <v>5451863</v>
      </c>
      <c r="V8" s="70" t="s">
        <v>124</v>
      </c>
      <c r="W8" s="56" t="b">
        <v>0</v>
      </c>
      <c r="X8" s="71">
        <f t="shared" si="3"/>
        <v>0.8000357070723052</v>
      </c>
      <c r="Y8" s="71">
        <f t="shared" si="4"/>
        <v>0.41202584511019441</v>
      </c>
      <c r="Z8" s="61">
        <f t="shared" si="5"/>
        <v>98</v>
      </c>
      <c r="AA8" s="58">
        <v>0</v>
      </c>
      <c r="AB8" s="61" t="str">
        <f t="shared" si="8"/>
        <v>No</v>
      </c>
      <c r="AG8" s="56" t="b">
        <v>1</v>
      </c>
    </row>
    <row r="9" spans="1:33" x14ac:dyDescent="0.3">
      <c r="A9" s="3">
        <v>1241</v>
      </c>
      <c r="B9" s="67">
        <v>8841</v>
      </c>
      <c r="C9" s="52">
        <v>0.105</v>
      </c>
      <c r="D9" s="56" t="s">
        <v>76</v>
      </c>
      <c r="E9" s="52">
        <f t="shared" si="6"/>
        <v>6.9999999999999993E-2</v>
      </c>
      <c r="F9" s="56">
        <f t="shared" si="0"/>
        <v>92</v>
      </c>
      <c r="G9" s="56">
        <v>160810.42000000001</v>
      </c>
      <c r="H9" s="56">
        <v>7313965.7410000004</v>
      </c>
      <c r="I9" s="56">
        <v>180</v>
      </c>
      <c r="J9" s="58">
        <v>41306</v>
      </c>
      <c r="K9" s="58">
        <v>41821</v>
      </c>
      <c r="L9" s="56">
        <v>10332900.49</v>
      </c>
      <c r="M9" s="66" t="s">
        <v>71</v>
      </c>
      <c r="N9" s="66" t="s">
        <v>81</v>
      </c>
      <c r="O9" s="56">
        <v>10715195.23</v>
      </c>
      <c r="P9" s="56">
        <v>8526820</v>
      </c>
      <c r="Q9" s="68">
        <f t="shared" si="7"/>
        <v>0.4167280066690468</v>
      </c>
      <c r="R9" s="69">
        <f t="shared" si="1"/>
        <v>0.79576898198988766</v>
      </c>
      <c r="S9" s="56">
        <v>204298.65</v>
      </c>
      <c r="T9" s="56">
        <f t="shared" si="2"/>
        <v>88</v>
      </c>
      <c r="U9" s="56">
        <v>17550934</v>
      </c>
      <c r="V9" s="70" t="s">
        <v>124</v>
      </c>
      <c r="W9" s="56" t="b">
        <v>0</v>
      </c>
      <c r="X9" s="71">
        <f t="shared" si="3"/>
        <v>0.79576898198988766</v>
      </c>
      <c r="Y9" s="71">
        <f t="shared" si="4"/>
        <v>0.4167280066690468</v>
      </c>
      <c r="Z9" s="61">
        <f t="shared" si="5"/>
        <v>88</v>
      </c>
      <c r="AA9" s="58">
        <v>41729</v>
      </c>
      <c r="AB9" s="61" t="str">
        <f t="shared" si="8"/>
        <v>No</v>
      </c>
      <c r="AG9" s="56" t="b">
        <v>1</v>
      </c>
    </row>
    <row r="10" spans="1:33" x14ac:dyDescent="0.3">
      <c r="A10" s="3">
        <v>1289</v>
      </c>
      <c r="B10" s="67">
        <v>7996</v>
      </c>
      <c r="C10" s="52">
        <v>9.0999999999999998E-2</v>
      </c>
      <c r="D10" s="56" t="s">
        <v>76</v>
      </c>
      <c r="E10" s="52">
        <f t="shared" si="6"/>
        <v>5.5999999999999994E-2</v>
      </c>
      <c r="F10" s="56">
        <f t="shared" si="0"/>
        <v>84</v>
      </c>
      <c r="G10" s="56">
        <v>52095.48</v>
      </c>
      <c r="H10" s="56">
        <v>7002836.75</v>
      </c>
      <c r="I10" s="56">
        <v>180</v>
      </c>
      <c r="J10" s="58">
        <v>41487</v>
      </c>
      <c r="K10" s="58">
        <v>41579</v>
      </c>
      <c r="L10" s="56">
        <v>4216494</v>
      </c>
      <c r="M10" s="66" t="s">
        <v>53</v>
      </c>
      <c r="N10" s="66" t="s">
        <v>79</v>
      </c>
      <c r="O10" s="56">
        <v>6313158.0800000001</v>
      </c>
      <c r="P10" s="56">
        <v>4216494</v>
      </c>
      <c r="Q10" s="68">
        <f t="shared" si="7"/>
        <v>0.53419880821228338</v>
      </c>
      <c r="R10" s="69">
        <f t="shared" si="1"/>
        <v>0.66788981783266232</v>
      </c>
      <c r="S10" s="56">
        <v>0</v>
      </c>
      <c r="T10" s="56">
        <f t="shared" si="2"/>
        <v>96</v>
      </c>
      <c r="U10" s="56">
        <v>13109046</v>
      </c>
      <c r="V10" s="70" t="s">
        <v>125</v>
      </c>
      <c r="W10" s="56" t="b">
        <v>0</v>
      </c>
      <c r="X10" s="71">
        <f t="shared" si="3"/>
        <v>0.66788981783266232</v>
      </c>
      <c r="Y10" s="71">
        <f t="shared" si="4"/>
        <v>0.53419880821228338</v>
      </c>
      <c r="Z10" s="61">
        <f t="shared" si="5"/>
        <v>96</v>
      </c>
      <c r="AA10" s="58">
        <v>44773</v>
      </c>
      <c r="AB10" s="61" t="str">
        <f t="shared" si="8"/>
        <v>Yes</v>
      </c>
      <c r="AG10" s="56" t="b">
        <v>1</v>
      </c>
    </row>
    <row r="11" spans="1:33" x14ac:dyDescent="0.3">
      <c r="A11" s="3">
        <v>1296</v>
      </c>
      <c r="B11" s="67">
        <v>8536</v>
      </c>
      <c r="C11" s="52">
        <v>0.12</v>
      </c>
      <c r="D11" s="56" t="s">
        <v>76</v>
      </c>
      <c r="E11" s="52">
        <f t="shared" si="6"/>
        <v>8.4999999999999992E-2</v>
      </c>
      <c r="F11" s="56">
        <f t="shared" si="0"/>
        <v>90</v>
      </c>
      <c r="G11" s="56">
        <v>414850.47</v>
      </c>
      <c r="H11" s="56">
        <v>23485116.780000001</v>
      </c>
      <c r="I11" s="56">
        <v>180</v>
      </c>
      <c r="J11" s="58">
        <v>41518</v>
      </c>
      <c r="K11" s="58">
        <v>41760</v>
      </c>
      <c r="L11" s="56">
        <v>29995116.199999999</v>
      </c>
      <c r="M11" s="66" t="s">
        <v>53</v>
      </c>
      <c r="N11" s="66" t="s">
        <v>53</v>
      </c>
      <c r="O11" s="56">
        <v>40838573.560000002</v>
      </c>
      <c r="P11" s="56">
        <v>31312675</v>
      </c>
      <c r="Q11" s="68">
        <f t="shared" si="7"/>
        <v>0.34049686429827014</v>
      </c>
      <c r="R11" s="69">
        <f t="shared" si="1"/>
        <v>0.76674262273131166</v>
      </c>
      <c r="S11" s="56">
        <v>0</v>
      </c>
      <c r="T11" s="56">
        <f t="shared" si="2"/>
        <v>90</v>
      </c>
      <c r="U11" s="56">
        <v>68973078</v>
      </c>
      <c r="V11" s="70" t="s">
        <v>124</v>
      </c>
      <c r="W11" s="56" t="b">
        <v>0</v>
      </c>
      <c r="X11" s="71">
        <f t="shared" si="3"/>
        <v>0.76674262273131166</v>
      </c>
      <c r="Y11" s="71">
        <f t="shared" si="4"/>
        <v>0.34049686429827014</v>
      </c>
      <c r="Z11" s="61">
        <f t="shared" si="5"/>
        <v>90</v>
      </c>
      <c r="AA11" s="58">
        <v>41578</v>
      </c>
      <c r="AB11" s="61" t="str">
        <f t="shared" si="8"/>
        <v>No</v>
      </c>
      <c r="AG11" s="56" t="b">
        <v>1</v>
      </c>
    </row>
    <row r="12" spans="1:33" x14ac:dyDescent="0.3">
      <c r="A12" s="3">
        <v>1397</v>
      </c>
      <c r="B12" s="67">
        <v>0</v>
      </c>
      <c r="C12" s="52">
        <v>0.11</v>
      </c>
      <c r="D12" s="56" t="s">
        <v>76</v>
      </c>
      <c r="E12" s="52">
        <f t="shared" si="6"/>
        <v>7.4999999999999997E-2</v>
      </c>
      <c r="F12" s="56">
        <f t="shared" si="0"/>
        <v>100</v>
      </c>
      <c r="G12" s="56">
        <v>17762.63</v>
      </c>
      <c r="H12" s="56">
        <v>1128385.57</v>
      </c>
      <c r="I12" s="56">
        <v>180</v>
      </c>
      <c r="J12" s="58">
        <v>41883</v>
      </c>
      <c r="K12" s="58">
        <v>42064</v>
      </c>
      <c r="L12" s="56">
        <v>1410000</v>
      </c>
      <c r="M12" s="66" t="s">
        <v>71</v>
      </c>
      <c r="N12" s="66" t="s">
        <v>82</v>
      </c>
      <c r="O12" s="56">
        <v>1983424</v>
      </c>
      <c r="P12" s="56">
        <v>1470769</v>
      </c>
      <c r="Q12" s="68">
        <f t="shared" si="7"/>
        <v>0.45832721829920414</v>
      </c>
      <c r="R12" s="69">
        <f t="shared" si="1"/>
        <v>0.7415303031525281</v>
      </c>
      <c r="S12" s="56">
        <v>0</v>
      </c>
      <c r="T12" s="56">
        <f t="shared" si="2"/>
        <v>80</v>
      </c>
      <c r="U12" s="56">
        <v>2461965</v>
      </c>
      <c r="V12" s="70" t="s">
        <v>124</v>
      </c>
      <c r="W12" s="56" t="b">
        <v>0</v>
      </c>
      <c r="X12" s="71">
        <f t="shared" si="3"/>
        <v>0.7415303031525281</v>
      </c>
      <c r="Y12" s="71">
        <f t="shared" si="4"/>
        <v>0.45832721829920414</v>
      </c>
      <c r="Z12" s="61">
        <f t="shared" si="5"/>
        <v>80</v>
      </c>
      <c r="AA12" s="58">
        <v>0</v>
      </c>
      <c r="AB12" s="61" t="str">
        <f t="shared" si="8"/>
        <v>No</v>
      </c>
      <c r="AG12" s="56" t="b">
        <v>1</v>
      </c>
    </row>
    <row r="13" spans="1:33" x14ac:dyDescent="0.3">
      <c r="A13" s="3">
        <v>1418</v>
      </c>
      <c r="B13" s="67">
        <v>7912</v>
      </c>
      <c r="C13" s="52">
        <v>0.09</v>
      </c>
      <c r="D13" s="56" t="s">
        <v>76</v>
      </c>
      <c r="E13" s="52">
        <f t="shared" si="6"/>
        <v>5.4999999999999993E-2</v>
      </c>
      <c r="F13" s="56">
        <f t="shared" si="0"/>
        <v>98</v>
      </c>
      <c r="G13" s="56">
        <v>85588.5</v>
      </c>
      <c r="H13" s="56">
        <v>5914395.1900000004</v>
      </c>
      <c r="I13" s="56">
        <v>180</v>
      </c>
      <c r="J13" s="58">
        <v>41944</v>
      </c>
      <c r="K13" s="58">
        <v>42005</v>
      </c>
      <c r="L13" s="56">
        <v>9350938.9699999988</v>
      </c>
      <c r="M13" s="66" t="s">
        <v>53</v>
      </c>
      <c r="N13" s="66" t="s">
        <v>79</v>
      </c>
      <c r="O13" s="56">
        <v>10819498.960000001</v>
      </c>
      <c r="P13" s="56">
        <v>6169441</v>
      </c>
      <c r="Q13" s="68">
        <f t="shared" si="7"/>
        <v>0.41783919861055496</v>
      </c>
      <c r="R13" s="69">
        <f t="shared" si="1"/>
        <v>0.5702150370186827</v>
      </c>
      <c r="S13" s="56">
        <v>0</v>
      </c>
      <c r="T13" s="56">
        <f t="shared" si="2"/>
        <v>82</v>
      </c>
      <c r="U13" s="56">
        <v>14154716</v>
      </c>
      <c r="V13" s="70" t="s">
        <v>124</v>
      </c>
      <c r="W13" s="56" t="b">
        <v>0</v>
      </c>
      <c r="X13" s="71">
        <f t="shared" si="3"/>
        <v>0.5702150370186827</v>
      </c>
      <c r="Y13" s="71">
        <f t="shared" si="4"/>
        <v>0.41783919861055496</v>
      </c>
      <c r="Z13" s="61">
        <f t="shared" si="5"/>
        <v>82</v>
      </c>
      <c r="AA13" s="58">
        <v>44255</v>
      </c>
      <c r="AB13" s="61" t="str">
        <f t="shared" si="8"/>
        <v>No</v>
      </c>
      <c r="AG13" s="56" t="b">
        <v>1</v>
      </c>
    </row>
    <row r="14" spans="1:33" x14ac:dyDescent="0.3">
      <c r="A14" s="3">
        <v>1820</v>
      </c>
      <c r="B14" s="67">
        <v>8462</v>
      </c>
      <c r="C14" s="52">
        <v>0.1</v>
      </c>
      <c r="D14" s="56" t="s">
        <v>76</v>
      </c>
      <c r="E14" s="52">
        <f t="shared" si="6"/>
        <v>6.5000000000000002E-2</v>
      </c>
      <c r="F14" s="56">
        <f t="shared" si="0"/>
        <v>141</v>
      </c>
      <c r="G14" s="56">
        <v>58146.5</v>
      </c>
      <c r="H14" s="56">
        <v>4792412.59</v>
      </c>
      <c r="I14" s="56">
        <v>180</v>
      </c>
      <c r="J14" s="58">
        <v>43252</v>
      </c>
      <c r="K14" s="58">
        <v>43313</v>
      </c>
      <c r="L14" s="56">
        <v>5301376.46</v>
      </c>
      <c r="M14" s="66" t="s">
        <v>53</v>
      </c>
      <c r="N14" s="66" t="s">
        <v>83</v>
      </c>
      <c r="O14" s="56">
        <v>7991704</v>
      </c>
      <c r="P14" s="56">
        <v>5948483</v>
      </c>
      <c r="Q14" s="68">
        <f t="shared" si="7"/>
        <v>0.59905157374999995</v>
      </c>
      <c r="R14" s="69">
        <f t="shared" si="1"/>
        <v>0.74433224754069971</v>
      </c>
      <c r="S14" s="56">
        <v>0</v>
      </c>
      <c r="T14" s="56">
        <f t="shared" si="2"/>
        <v>39</v>
      </c>
      <c r="U14" s="56">
        <v>8000000</v>
      </c>
      <c r="V14" s="70" t="s">
        <v>124</v>
      </c>
      <c r="W14" s="56" t="b">
        <v>0</v>
      </c>
      <c r="X14" s="71">
        <f t="shared" si="3"/>
        <v>0.74433224754069971</v>
      </c>
      <c r="Y14" s="71">
        <f t="shared" si="4"/>
        <v>0.59905157374999995</v>
      </c>
      <c r="Z14" s="61">
        <f t="shared" si="5"/>
        <v>39</v>
      </c>
      <c r="AA14" s="58">
        <v>0</v>
      </c>
      <c r="AB14" s="61" t="str">
        <f t="shared" si="8"/>
        <v>No</v>
      </c>
      <c r="AG14" s="56" t="b">
        <v>1</v>
      </c>
    </row>
    <row r="15" spans="1:33" x14ac:dyDescent="0.3">
      <c r="A15" s="3">
        <v>1424</v>
      </c>
      <c r="B15" s="67">
        <v>8876</v>
      </c>
      <c r="C15" s="52">
        <v>0.105</v>
      </c>
      <c r="D15" s="56" t="s">
        <v>76</v>
      </c>
      <c r="E15" s="52">
        <f t="shared" si="6"/>
        <v>6.9999999999999993E-2</v>
      </c>
      <c r="F15" s="56">
        <f t="shared" si="0"/>
        <v>98</v>
      </c>
      <c r="G15" s="56">
        <v>30856.77</v>
      </c>
      <c r="H15" s="56">
        <v>2005181.66</v>
      </c>
      <c r="I15" s="56">
        <v>180</v>
      </c>
      <c r="J15" s="58">
        <v>41944</v>
      </c>
      <c r="K15" s="58">
        <v>42005</v>
      </c>
      <c r="L15" s="56">
        <v>2553060</v>
      </c>
      <c r="M15" s="66" t="s">
        <v>53</v>
      </c>
      <c r="N15" s="66" t="s">
        <v>53</v>
      </c>
      <c r="O15" s="56">
        <v>3181936.88</v>
      </c>
      <c r="P15" s="56">
        <v>2553060</v>
      </c>
      <c r="Q15" s="68">
        <f t="shared" si="7"/>
        <v>0.39888950866436834</v>
      </c>
      <c r="R15" s="69">
        <f t="shared" si="1"/>
        <v>0.80236035354667379</v>
      </c>
      <c r="S15" s="56">
        <v>0</v>
      </c>
      <c r="T15" s="56">
        <f t="shared" si="2"/>
        <v>82</v>
      </c>
      <c r="U15" s="56">
        <v>5026910</v>
      </c>
      <c r="V15" s="70" t="s">
        <v>124</v>
      </c>
      <c r="W15" s="56" t="b">
        <v>0</v>
      </c>
      <c r="X15" s="71">
        <f t="shared" si="3"/>
        <v>0.80236035354667379</v>
      </c>
      <c r="Y15" s="71">
        <f t="shared" si="4"/>
        <v>0.39888950866436834</v>
      </c>
      <c r="Z15" s="61">
        <f t="shared" si="5"/>
        <v>82</v>
      </c>
      <c r="AA15" s="58">
        <v>0</v>
      </c>
      <c r="AB15" s="61" t="str">
        <f t="shared" si="8"/>
        <v>No</v>
      </c>
      <c r="AG15" s="56" t="b">
        <v>1</v>
      </c>
    </row>
    <row r="16" spans="1:33" x14ac:dyDescent="0.3">
      <c r="A16" s="3">
        <v>1432</v>
      </c>
      <c r="B16" s="67">
        <v>8865</v>
      </c>
      <c r="C16" s="52">
        <v>0.105</v>
      </c>
      <c r="D16" s="56" t="s">
        <v>76</v>
      </c>
      <c r="E16" s="52">
        <f t="shared" si="6"/>
        <v>6.9999999999999993E-2</v>
      </c>
      <c r="F16" s="56">
        <f t="shared" si="0"/>
        <v>101</v>
      </c>
      <c r="G16" s="56">
        <v>23138.95</v>
      </c>
      <c r="H16" s="56">
        <v>1527752.45</v>
      </c>
      <c r="I16" s="56">
        <v>180</v>
      </c>
      <c r="J16" s="58">
        <v>41974</v>
      </c>
      <c r="K16" s="58">
        <v>42095</v>
      </c>
      <c r="L16" s="56">
        <v>1838808</v>
      </c>
      <c r="M16" s="66" t="s">
        <v>53</v>
      </c>
      <c r="N16" s="66" t="s">
        <v>84</v>
      </c>
      <c r="O16" s="56">
        <v>2285945.54</v>
      </c>
      <c r="P16" s="56">
        <v>1838808</v>
      </c>
      <c r="Q16" s="68">
        <f t="shared" si="7"/>
        <v>0.488693438483423</v>
      </c>
      <c r="R16" s="69">
        <f t="shared" si="1"/>
        <v>0.80439711612727216</v>
      </c>
      <c r="S16" s="56">
        <v>0</v>
      </c>
      <c r="T16" s="56">
        <f t="shared" si="2"/>
        <v>79</v>
      </c>
      <c r="U16" s="56">
        <v>3126198</v>
      </c>
      <c r="V16" s="70" t="s">
        <v>124</v>
      </c>
      <c r="W16" s="56" t="b">
        <v>0</v>
      </c>
      <c r="X16" s="71">
        <f t="shared" si="3"/>
        <v>0.80439711612727216</v>
      </c>
      <c r="Y16" s="71">
        <f t="shared" si="4"/>
        <v>0.488693438483423</v>
      </c>
      <c r="Z16" s="61">
        <f t="shared" si="5"/>
        <v>79</v>
      </c>
      <c r="AA16" s="58">
        <v>0</v>
      </c>
      <c r="AB16" s="61" t="str">
        <f t="shared" si="8"/>
        <v>No</v>
      </c>
      <c r="AG16" s="56" t="b">
        <v>1</v>
      </c>
    </row>
    <row r="17" spans="1:33" x14ac:dyDescent="0.3">
      <c r="A17" s="3">
        <v>1433</v>
      </c>
      <c r="B17" s="67">
        <v>0</v>
      </c>
      <c r="C17" s="52">
        <v>0.105</v>
      </c>
      <c r="D17" s="56" t="s">
        <v>76</v>
      </c>
      <c r="E17" s="52">
        <f t="shared" si="6"/>
        <v>6.9999999999999993E-2</v>
      </c>
      <c r="F17" s="56">
        <f t="shared" si="0"/>
        <v>99</v>
      </c>
      <c r="G17" s="56">
        <v>9906.6299999999992</v>
      </c>
      <c r="H17" s="56">
        <v>654092.82999999996</v>
      </c>
      <c r="I17" s="56">
        <v>180</v>
      </c>
      <c r="J17" s="58">
        <v>41974</v>
      </c>
      <c r="K17" s="58">
        <v>42036</v>
      </c>
      <c r="L17" s="56">
        <v>841000</v>
      </c>
      <c r="M17" s="66" t="s">
        <v>53</v>
      </c>
      <c r="N17" s="66" t="s">
        <v>85</v>
      </c>
      <c r="O17" s="56">
        <v>1107853.1200000001</v>
      </c>
      <c r="P17" s="56">
        <v>852720</v>
      </c>
      <c r="Q17" s="68">
        <f t="shared" si="7"/>
        <v>0.41606603061277064</v>
      </c>
      <c r="R17" s="69">
        <f t="shared" si="1"/>
        <v>0.76970492261645651</v>
      </c>
      <c r="S17" s="56">
        <v>0</v>
      </c>
      <c r="T17" s="56">
        <f t="shared" si="2"/>
        <v>81</v>
      </c>
      <c r="U17" s="56">
        <v>1572089</v>
      </c>
      <c r="V17" s="70" t="s">
        <v>124</v>
      </c>
      <c r="W17" s="56" t="b">
        <v>0</v>
      </c>
      <c r="X17" s="71">
        <f t="shared" si="3"/>
        <v>0.76970492261645651</v>
      </c>
      <c r="Y17" s="71">
        <f t="shared" si="4"/>
        <v>0.41606603061277064</v>
      </c>
      <c r="Z17" s="61">
        <f t="shared" si="5"/>
        <v>81</v>
      </c>
      <c r="AA17" s="58">
        <v>44043</v>
      </c>
      <c r="AB17" s="61" t="str">
        <f t="shared" si="8"/>
        <v>No</v>
      </c>
      <c r="AG17" s="56" t="b">
        <v>1</v>
      </c>
    </row>
    <row r="18" spans="1:33" x14ac:dyDescent="0.3">
      <c r="A18" s="3">
        <v>1444</v>
      </c>
      <c r="B18" s="67">
        <v>9126</v>
      </c>
      <c r="C18" s="52">
        <v>0.10920000000000001</v>
      </c>
      <c r="D18" s="56" t="s">
        <v>76</v>
      </c>
      <c r="E18" s="52">
        <f t="shared" si="6"/>
        <v>7.4200000000000002E-2</v>
      </c>
      <c r="F18" s="56">
        <f t="shared" si="0"/>
        <v>102</v>
      </c>
      <c r="G18" s="56">
        <v>82000</v>
      </c>
      <c r="H18" s="56">
        <v>1776195.57</v>
      </c>
      <c r="I18" s="56">
        <v>180</v>
      </c>
      <c r="J18" s="58">
        <v>42064</v>
      </c>
      <c r="K18" s="58">
        <v>42125</v>
      </c>
      <c r="L18" s="56">
        <v>5426001</v>
      </c>
      <c r="M18" s="66" t="s">
        <v>53</v>
      </c>
      <c r="N18" s="66" t="s">
        <v>77</v>
      </c>
      <c r="O18" s="56">
        <v>7689666.9100000001</v>
      </c>
      <c r="P18" s="56">
        <v>4489549</v>
      </c>
      <c r="Q18" s="68">
        <f t="shared" si="7"/>
        <v>0.13707019879366286</v>
      </c>
      <c r="R18" s="69">
        <f t="shared" si="1"/>
        <v>0.58384180388380436</v>
      </c>
      <c r="S18" s="56">
        <v>0</v>
      </c>
      <c r="T18" s="56">
        <f t="shared" si="2"/>
        <v>78</v>
      </c>
      <c r="U18" s="56">
        <v>12958291.34</v>
      </c>
      <c r="V18" s="70" t="s">
        <v>124</v>
      </c>
      <c r="W18" s="56" t="b">
        <v>0</v>
      </c>
      <c r="X18" s="71">
        <f t="shared" si="3"/>
        <v>0.58384180388380436</v>
      </c>
      <c r="Y18" s="71">
        <f t="shared" si="4"/>
        <v>0.13707019879366286</v>
      </c>
      <c r="Z18" s="61">
        <f t="shared" si="5"/>
        <v>78</v>
      </c>
      <c r="AA18" s="58">
        <v>0</v>
      </c>
      <c r="AB18" s="61" t="str">
        <f t="shared" si="8"/>
        <v>No</v>
      </c>
      <c r="AG18" s="56" t="b">
        <v>1</v>
      </c>
    </row>
    <row r="19" spans="1:33" x14ac:dyDescent="0.3">
      <c r="A19" s="3">
        <v>1493</v>
      </c>
      <c r="B19" s="67">
        <v>0</v>
      </c>
      <c r="C19" s="52">
        <v>0.105</v>
      </c>
      <c r="D19" s="56" t="s">
        <v>76</v>
      </c>
      <c r="E19" s="52">
        <f t="shared" si="6"/>
        <v>6.9999999999999993E-2</v>
      </c>
      <c r="F19" s="56">
        <f t="shared" si="0"/>
        <v>108</v>
      </c>
      <c r="G19" s="56">
        <v>7295.41</v>
      </c>
      <c r="H19" s="56">
        <v>505734.33</v>
      </c>
      <c r="I19" s="56">
        <v>180</v>
      </c>
      <c r="J19" s="58">
        <v>42186</v>
      </c>
      <c r="K19" s="58">
        <v>42309</v>
      </c>
      <c r="L19" s="56">
        <v>632463.18000000005</v>
      </c>
      <c r="M19" s="66" t="s">
        <v>71</v>
      </c>
      <c r="N19" s="66" t="s">
        <v>86</v>
      </c>
      <c r="O19" s="56">
        <v>845873.93</v>
      </c>
      <c r="P19" s="56">
        <v>640866</v>
      </c>
      <c r="Q19" s="68">
        <f t="shared" si="7"/>
        <v>0.58947834742518723</v>
      </c>
      <c r="R19" s="69">
        <f t="shared" si="1"/>
        <v>0.757637725044913</v>
      </c>
      <c r="S19" s="56">
        <v>0</v>
      </c>
      <c r="T19" s="56">
        <f t="shared" si="2"/>
        <v>72</v>
      </c>
      <c r="U19" s="56">
        <v>857935.38</v>
      </c>
      <c r="V19" s="70" t="s">
        <v>124</v>
      </c>
      <c r="W19" s="56" t="b">
        <v>0</v>
      </c>
      <c r="X19" s="71">
        <f t="shared" si="3"/>
        <v>0.757637725044913</v>
      </c>
      <c r="Y19" s="71">
        <f t="shared" si="4"/>
        <v>0.58947834742518723</v>
      </c>
      <c r="Z19" s="61">
        <f t="shared" si="5"/>
        <v>72</v>
      </c>
      <c r="AA19" s="58">
        <v>0</v>
      </c>
      <c r="AB19" s="61" t="str">
        <f t="shared" si="8"/>
        <v>No</v>
      </c>
      <c r="AG19" s="56" t="b">
        <v>1</v>
      </c>
    </row>
    <row r="20" spans="1:33" x14ac:dyDescent="0.3">
      <c r="A20" s="3">
        <v>1524</v>
      </c>
      <c r="B20" s="67">
        <v>0</v>
      </c>
      <c r="C20" s="52">
        <v>0.105</v>
      </c>
      <c r="D20" s="56" t="s">
        <v>76</v>
      </c>
      <c r="E20" s="52">
        <f t="shared" si="6"/>
        <v>6.9999999999999993E-2</v>
      </c>
      <c r="F20" s="56">
        <f t="shared" si="0"/>
        <v>110</v>
      </c>
      <c r="G20" s="56">
        <v>33174.49</v>
      </c>
      <c r="H20" s="56">
        <v>2314496.2599999998</v>
      </c>
      <c r="I20" s="56">
        <v>180</v>
      </c>
      <c r="J20" s="58">
        <v>42278</v>
      </c>
      <c r="K20" s="58">
        <v>42370</v>
      </c>
      <c r="L20" s="56">
        <v>2778924.72</v>
      </c>
      <c r="M20" s="66" t="s">
        <v>53</v>
      </c>
      <c r="N20" s="66" t="s">
        <v>79</v>
      </c>
      <c r="O20" s="56">
        <v>3140572</v>
      </c>
      <c r="P20" s="56">
        <v>2351710</v>
      </c>
      <c r="Q20" s="68">
        <f t="shared" si="7"/>
        <v>0.6012570331859608</v>
      </c>
      <c r="R20" s="69">
        <f t="shared" si="1"/>
        <v>0.74881582081225972</v>
      </c>
      <c r="S20" s="56">
        <v>0</v>
      </c>
      <c r="T20" s="56">
        <f t="shared" si="2"/>
        <v>70</v>
      </c>
      <c r="U20" s="56">
        <v>3849429</v>
      </c>
      <c r="V20" s="70" t="s">
        <v>124</v>
      </c>
      <c r="W20" s="56" t="b">
        <v>0</v>
      </c>
      <c r="X20" s="71">
        <f t="shared" si="3"/>
        <v>0.74881582081225972</v>
      </c>
      <c r="Y20" s="71">
        <f t="shared" si="4"/>
        <v>0.6012570331859608</v>
      </c>
      <c r="Z20" s="61">
        <f t="shared" si="5"/>
        <v>70</v>
      </c>
      <c r="AA20" s="58">
        <v>0</v>
      </c>
      <c r="AB20" s="61" t="str">
        <f t="shared" si="8"/>
        <v>No</v>
      </c>
      <c r="AG20" s="56" t="b">
        <v>1</v>
      </c>
    </row>
    <row r="21" spans="1:33" x14ac:dyDescent="0.3">
      <c r="A21" s="3">
        <v>1533</v>
      </c>
      <c r="B21" s="67">
        <v>9212</v>
      </c>
      <c r="C21" s="52">
        <v>0.11550000000000001</v>
      </c>
      <c r="D21" s="56" t="s">
        <v>76</v>
      </c>
      <c r="E21" s="52">
        <f t="shared" si="6"/>
        <v>8.0500000000000002E-2</v>
      </c>
      <c r="F21" s="56">
        <f t="shared" si="0"/>
        <v>128</v>
      </c>
      <c r="G21" s="56">
        <v>289499.78000000003</v>
      </c>
      <c r="H21" s="56">
        <v>19621138.77</v>
      </c>
      <c r="I21" s="56">
        <v>180</v>
      </c>
      <c r="J21" s="58">
        <v>42309</v>
      </c>
      <c r="K21" s="58">
        <v>42917</v>
      </c>
      <c r="L21" s="56">
        <v>22994440.25</v>
      </c>
      <c r="M21" s="66" t="s">
        <v>67</v>
      </c>
      <c r="N21" s="66" t="s">
        <v>87</v>
      </c>
      <c r="O21" s="56">
        <v>25468357.850000001</v>
      </c>
      <c r="P21" s="56">
        <v>19355139</v>
      </c>
      <c r="Q21" s="68">
        <f t="shared" si="7"/>
        <v>0.60617058726395823</v>
      </c>
      <c r="R21" s="69">
        <f t="shared" si="1"/>
        <v>0.75996807937108513</v>
      </c>
      <c r="S21" s="56">
        <v>0</v>
      </c>
      <c r="T21" s="56">
        <f t="shared" si="2"/>
        <v>52</v>
      </c>
      <c r="U21" s="56">
        <v>32369005</v>
      </c>
      <c r="V21" s="70" t="s">
        <v>124</v>
      </c>
      <c r="W21" s="56" t="b">
        <v>0</v>
      </c>
      <c r="X21" s="71">
        <f t="shared" si="3"/>
        <v>0.75996807937108513</v>
      </c>
      <c r="Y21" s="71">
        <f t="shared" si="4"/>
        <v>0.60617058726395823</v>
      </c>
      <c r="Z21" s="61">
        <f t="shared" si="5"/>
        <v>52</v>
      </c>
      <c r="AA21" s="58">
        <v>0</v>
      </c>
      <c r="AB21" s="61" t="str">
        <f t="shared" si="8"/>
        <v>No</v>
      </c>
      <c r="AG21" s="56" t="b">
        <v>1</v>
      </c>
    </row>
    <row r="22" spans="1:33" x14ac:dyDescent="0.3">
      <c r="A22" s="3">
        <v>1884</v>
      </c>
      <c r="B22" s="67">
        <v>8272</v>
      </c>
      <c r="C22" s="52">
        <v>0.105</v>
      </c>
      <c r="D22" s="56" t="s">
        <v>76</v>
      </c>
      <c r="E22" s="52">
        <f t="shared" si="6"/>
        <v>6.9999999999999993E-2</v>
      </c>
      <c r="F22" s="56">
        <f t="shared" si="0"/>
        <v>146</v>
      </c>
      <c r="G22" s="56">
        <v>12356.83</v>
      </c>
      <c r="H22" s="56">
        <v>1019057.37</v>
      </c>
      <c r="I22" s="56">
        <v>180</v>
      </c>
      <c r="J22" s="58">
        <v>43405</v>
      </c>
      <c r="K22" s="58">
        <v>43466</v>
      </c>
      <c r="L22" s="56">
        <v>1098476.43</v>
      </c>
      <c r="M22" s="66" t="s">
        <v>53</v>
      </c>
      <c r="N22" s="66" t="s">
        <v>88</v>
      </c>
      <c r="O22" s="56">
        <v>2438852</v>
      </c>
      <c r="P22" s="56">
        <v>1185327</v>
      </c>
      <c r="Q22" s="68">
        <f t="shared" si="7"/>
        <v>0.41784305484711659</v>
      </c>
      <c r="R22" s="69">
        <f t="shared" si="1"/>
        <v>0.48601842178205157</v>
      </c>
      <c r="S22" s="56">
        <v>0</v>
      </c>
      <c r="T22" s="56">
        <f t="shared" si="2"/>
        <v>34</v>
      </c>
      <c r="U22" s="56">
        <v>2438852</v>
      </c>
      <c r="V22" s="70" t="s">
        <v>124</v>
      </c>
      <c r="W22" s="56" t="b">
        <v>0</v>
      </c>
      <c r="X22" s="71">
        <f t="shared" si="3"/>
        <v>0.48601842178205157</v>
      </c>
      <c r="Y22" s="71">
        <f t="shared" si="4"/>
        <v>0.41784305484711659</v>
      </c>
      <c r="Z22" s="61">
        <f t="shared" si="5"/>
        <v>34</v>
      </c>
      <c r="AA22" s="58">
        <v>0</v>
      </c>
      <c r="AB22" s="61" t="str">
        <f t="shared" si="8"/>
        <v>No</v>
      </c>
      <c r="AG22" s="56" t="b">
        <v>1</v>
      </c>
    </row>
    <row r="23" spans="1:33" x14ac:dyDescent="0.3">
      <c r="A23" s="3">
        <v>1568</v>
      </c>
      <c r="B23" s="67">
        <v>9313</v>
      </c>
      <c r="C23" s="52">
        <v>0.105</v>
      </c>
      <c r="D23" s="56" t="s">
        <v>76</v>
      </c>
      <c r="E23" s="52">
        <f t="shared" si="6"/>
        <v>6.9999999999999993E-2</v>
      </c>
      <c r="F23" s="56">
        <f t="shared" si="0"/>
        <v>113</v>
      </c>
      <c r="G23" s="56">
        <v>30012.77</v>
      </c>
      <c r="H23" s="56">
        <v>2146393.5099999998</v>
      </c>
      <c r="I23" s="56">
        <v>180</v>
      </c>
      <c r="J23" s="58">
        <v>42401</v>
      </c>
      <c r="K23" s="58">
        <v>42461</v>
      </c>
      <c r="L23" s="56">
        <v>2602734</v>
      </c>
      <c r="M23" s="66" t="s">
        <v>53</v>
      </c>
      <c r="N23" s="66" t="s">
        <v>89</v>
      </c>
      <c r="O23" s="56">
        <v>3240216.8</v>
      </c>
      <c r="P23" s="56">
        <v>2602734</v>
      </c>
      <c r="Q23" s="68">
        <f t="shared" si="7"/>
        <v>0.61747404768637837</v>
      </c>
      <c r="R23" s="69">
        <f t="shared" si="1"/>
        <v>0.80325921401308709</v>
      </c>
      <c r="S23" s="56">
        <v>0</v>
      </c>
      <c r="T23" s="56">
        <f t="shared" si="2"/>
        <v>67</v>
      </c>
      <c r="U23" s="56">
        <v>3476087</v>
      </c>
      <c r="V23" s="70" t="s">
        <v>124</v>
      </c>
      <c r="W23" s="56" t="b">
        <v>0</v>
      </c>
      <c r="X23" s="71">
        <f t="shared" si="3"/>
        <v>0.80325921401308709</v>
      </c>
      <c r="Y23" s="71">
        <f t="shared" si="4"/>
        <v>0.61747404768637837</v>
      </c>
      <c r="Z23" s="61">
        <f t="shared" si="5"/>
        <v>67</v>
      </c>
      <c r="AA23" s="58">
        <v>0</v>
      </c>
      <c r="AB23" s="61" t="str">
        <f t="shared" si="8"/>
        <v>No</v>
      </c>
      <c r="AG23" s="56" t="b">
        <v>1</v>
      </c>
    </row>
    <row r="24" spans="1:33" x14ac:dyDescent="0.3">
      <c r="A24" s="3">
        <v>1597</v>
      </c>
      <c r="B24" s="67">
        <v>9127</v>
      </c>
      <c r="C24" s="52">
        <v>0.115</v>
      </c>
      <c r="D24" s="56" t="s">
        <v>76</v>
      </c>
      <c r="E24" s="52">
        <f t="shared" si="6"/>
        <v>0.08</v>
      </c>
      <c r="F24" s="56">
        <f t="shared" si="0"/>
        <v>116</v>
      </c>
      <c r="G24" s="56">
        <v>40933.71</v>
      </c>
      <c r="H24" s="56">
        <v>2864013.8755000001</v>
      </c>
      <c r="I24" s="56">
        <v>180</v>
      </c>
      <c r="J24" s="58">
        <v>42491</v>
      </c>
      <c r="K24" s="58">
        <v>42552</v>
      </c>
      <c r="L24" s="56">
        <v>4380393</v>
      </c>
      <c r="M24" s="66" t="s">
        <v>67</v>
      </c>
      <c r="N24" s="66" t="s">
        <v>67</v>
      </c>
      <c r="O24" s="56">
        <v>6685712.1200000001</v>
      </c>
      <c r="P24" s="56">
        <v>4727190</v>
      </c>
      <c r="Q24" s="68">
        <f t="shared" si="7"/>
        <v>0.27676832752628394</v>
      </c>
      <c r="R24" s="69">
        <f t="shared" si="1"/>
        <v>0.70705856237196163</v>
      </c>
      <c r="S24" s="56">
        <v>0</v>
      </c>
      <c r="T24" s="56">
        <f t="shared" si="2"/>
        <v>64</v>
      </c>
      <c r="U24" s="56">
        <v>10348055</v>
      </c>
      <c r="V24" s="70" t="s">
        <v>124</v>
      </c>
      <c r="W24" s="56" t="b">
        <v>0</v>
      </c>
      <c r="X24" s="71">
        <f t="shared" si="3"/>
        <v>0.70705856237196163</v>
      </c>
      <c r="Y24" s="71">
        <f t="shared" si="4"/>
        <v>0.27676832752628394</v>
      </c>
      <c r="Z24" s="61">
        <f t="shared" si="5"/>
        <v>64</v>
      </c>
      <c r="AA24" s="58">
        <v>0</v>
      </c>
      <c r="AB24" s="61" t="str">
        <f t="shared" si="8"/>
        <v>No</v>
      </c>
      <c r="AG24" s="56" t="b">
        <v>1</v>
      </c>
    </row>
    <row r="25" spans="1:33" x14ac:dyDescent="0.3">
      <c r="A25" s="3">
        <v>1609</v>
      </c>
      <c r="B25" s="67">
        <v>0</v>
      </c>
      <c r="C25" s="52">
        <v>0.115</v>
      </c>
      <c r="D25" s="56" t="s">
        <v>76</v>
      </c>
      <c r="E25" s="52">
        <f t="shared" si="6"/>
        <v>0.08</v>
      </c>
      <c r="F25" s="56">
        <f t="shared" si="0"/>
        <v>118</v>
      </c>
      <c r="G25" s="56">
        <v>35386.44</v>
      </c>
      <c r="H25" s="56">
        <v>2499336.33</v>
      </c>
      <c r="I25" s="56">
        <v>180</v>
      </c>
      <c r="J25" s="58">
        <v>42522</v>
      </c>
      <c r="K25" s="58">
        <v>42614</v>
      </c>
      <c r="L25" s="56">
        <v>2921689.58</v>
      </c>
      <c r="M25" s="66" t="s">
        <v>53</v>
      </c>
      <c r="N25" s="66" t="s">
        <v>84</v>
      </c>
      <c r="O25" s="56">
        <v>4559635.7300000004</v>
      </c>
      <c r="P25" s="56">
        <v>3655689</v>
      </c>
      <c r="Q25" s="68">
        <f t="shared" si="7"/>
        <v>0.43199005156565384</v>
      </c>
      <c r="R25" s="69">
        <f t="shared" si="1"/>
        <v>0.80175023104312759</v>
      </c>
      <c r="S25" s="56">
        <v>0</v>
      </c>
      <c r="T25" s="56">
        <f t="shared" si="2"/>
        <v>62</v>
      </c>
      <c r="U25" s="56">
        <v>5785634</v>
      </c>
      <c r="V25" s="70" t="s">
        <v>124</v>
      </c>
      <c r="W25" s="56" t="b">
        <v>0</v>
      </c>
      <c r="X25" s="71">
        <f t="shared" si="3"/>
        <v>0.80175023104312759</v>
      </c>
      <c r="Y25" s="71">
        <f t="shared" si="4"/>
        <v>0.43199005156565384</v>
      </c>
      <c r="Z25" s="61">
        <f t="shared" si="5"/>
        <v>62</v>
      </c>
      <c r="AA25" s="58">
        <v>0</v>
      </c>
      <c r="AB25" s="61" t="str">
        <f t="shared" si="8"/>
        <v>No</v>
      </c>
      <c r="AG25" s="56" t="b">
        <v>1</v>
      </c>
    </row>
    <row r="26" spans="1:33" x14ac:dyDescent="0.3">
      <c r="A26" s="3">
        <v>1611</v>
      </c>
      <c r="B26" s="67">
        <v>9355</v>
      </c>
      <c r="C26" s="52">
        <v>0.115</v>
      </c>
      <c r="D26" s="56" t="s">
        <v>76</v>
      </c>
      <c r="E26" s="52">
        <f t="shared" si="6"/>
        <v>0.08</v>
      </c>
      <c r="F26" s="56">
        <f t="shared" si="0"/>
        <v>118</v>
      </c>
      <c r="G26" s="56">
        <v>25078.6</v>
      </c>
      <c r="H26" s="56">
        <v>1771295.88</v>
      </c>
      <c r="I26" s="56">
        <v>180</v>
      </c>
      <c r="J26" s="58">
        <v>42552</v>
      </c>
      <c r="K26" s="58">
        <v>42614</v>
      </c>
      <c r="L26" s="56">
        <v>2075400</v>
      </c>
      <c r="M26" s="66" t="s">
        <v>53</v>
      </c>
      <c r="N26" s="66" t="s">
        <v>90</v>
      </c>
      <c r="O26" s="56">
        <v>3563551.2</v>
      </c>
      <c r="P26" s="56">
        <v>2825400</v>
      </c>
      <c r="Q26" s="68">
        <f t="shared" si="7"/>
        <v>0.45903716258241073</v>
      </c>
      <c r="R26" s="69">
        <f t="shared" si="1"/>
        <v>0.79286078448935993</v>
      </c>
      <c r="S26" s="56">
        <v>0</v>
      </c>
      <c r="T26" s="56">
        <f t="shared" si="2"/>
        <v>62</v>
      </c>
      <c r="U26" s="56">
        <v>3858720</v>
      </c>
      <c r="V26" s="70" t="s">
        <v>124</v>
      </c>
      <c r="W26" s="56" t="b">
        <v>0</v>
      </c>
      <c r="X26" s="71">
        <f t="shared" si="3"/>
        <v>0.79286078448935993</v>
      </c>
      <c r="Y26" s="71">
        <f t="shared" si="4"/>
        <v>0.45903716258241073</v>
      </c>
      <c r="Z26" s="61">
        <f t="shared" si="5"/>
        <v>62</v>
      </c>
      <c r="AA26" s="58">
        <v>0</v>
      </c>
      <c r="AB26" s="61" t="str">
        <f t="shared" si="8"/>
        <v>No</v>
      </c>
      <c r="AG26" s="56" t="b">
        <v>1</v>
      </c>
    </row>
    <row r="27" spans="1:33" x14ac:dyDescent="0.3">
      <c r="A27" s="3">
        <v>1626</v>
      </c>
      <c r="B27" s="67">
        <v>9375</v>
      </c>
      <c r="C27" s="52">
        <v>0.1</v>
      </c>
      <c r="D27" s="56" t="s">
        <v>76</v>
      </c>
      <c r="E27" s="52">
        <f t="shared" si="6"/>
        <v>6.5000000000000002E-2</v>
      </c>
      <c r="F27" s="56">
        <f t="shared" si="0"/>
        <v>120</v>
      </c>
      <c r="G27" s="56">
        <v>89288.21</v>
      </c>
      <c r="H27" s="56">
        <v>6762598.2000000002</v>
      </c>
      <c r="I27" s="56">
        <v>180</v>
      </c>
      <c r="J27" s="58">
        <v>42583</v>
      </c>
      <c r="K27" s="58">
        <v>42675</v>
      </c>
      <c r="L27" s="56">
        <v>12430926.52</v>
      </c>
      <c r="M27" s="66" t="s">
        <v>67</v>
      </c>
      <c r="N27" s="66" t="s">
        <v>67</v>
      </c>
      <c r="O27" s="56">
        <v>28613370</v>
      </c>
      <c r="P27" s="56">
        <v>18434628</v>
      </c>
      <c r="Q27" s="68">
        <f t="shared" si="7"/>
        <v>0.30073565655165962</v>
      </c>
      <c r="R27" s="69">
        <f t="shared" si="1"/>
        <v>0.64426622938856903</v>
      </c>
      <c r="S27" s="56">
        <v>0</v>
      </c>
      <c r="T27" s="56">
        <f t="shared" si="2"/>
        <v>60</v>
      </c>
      <c r="U27" s="56">
        <v>22486852</v>
      </c>
      <c r="V27" s="70" t="s">
        <v>124</v>
      </c>
      <c r="W27" s="56" t="b">
        <v>0</v>
      </c>
      <c r="X27" s="71">
        <f t="shared" si="3"/>
        <v>0.64426622938856903</v>
      </c>
      <c r="Y27" s="71">
        <f t="shared" si="4"/>
        <v>0.30073565655165962</v>
      </c>
      <c r="Z27" s="61">
        <f t="shared" si="5"/>
        <v>60</v>
      </c>
      <c r="AA27" s="58">
        <v>0</v>
      </c>
      <c r="AB27" s="61" t="str">
        <f t="shared" si="8"/>
        <v>No</v>
      </c>
      <c r="AG27" s="56" t="b">
        <v>1</v>
      </c>
    </row>
    <row r="28" spans="1:33" x14ac:dyDescent="0.3">
      <c r="A28" s="3">
        <v>1630</v>
      </c>
      <c r="B28" s="67">
        <v>9429</v>
      </c>
      <c r="C28" s="52">
        <v>0.10050000000000001</v>
      </c>
      <c r="D28" s="56" t="s">
        <v>76</v>
      </c>
      <c r="E28" s="52">
        <f t="shared" si="6"/>
        <v>6.5500000000000003E-2</v>
      </c>
      <c r="F28" s="56">
        <f t="shared" si="0"/>
        <v>134</v>
      </c>
      <c r="G28" s="56">
        <v>319231.77</v>
      </c>
      <c r="H28" s="56">
        <v>24121443.18</v>
      </c>
      <c r="I28" s="56">
        <v>180</v>
      </c>
      <c r="J28" s="58">
        <v>42614</v>
      </c>
      <c r="K28" s="58">
        <v>43101</v>
      </c>
      <c r="L28" s="56">
        <v>22172013.440000001</v>
      </c>
      <c r="M28" s="66" t="s">
        <v>53</v>
      </c>
      <c r="N28" s="66" t="s">
        <v>91</v>
      </c>
      <c r="O28" s="56">
        <v>31048125.199999999</v>
      </c>
      <c r="P28" s="56">
        <v>22166900</v>
      </c>
      <c r="Q28" s="68">
        <f t="shared" si="7"/>
        <v>0.62060393396644353</v>
      </c>
      <c r="R28" s="69">
        <f t="shared" si="1"/>
        <v>0.71395293136733429</v>
      </c>
      <c r="S28" s="56">
        <v>0</v>
      </c>
      <c r="T28" s="56">
        <f t="shared" si="2"/>
        <v>46</v>
      </c>
      <c r="U28" s="56">
        <v>38867693</v>
      </c>
      <c r="V28" s="70" t="s">
        <v>124</v>
      </c>
      <c r="W28" s="56" t="b">
        <v>0</v>
      </c>
      <c r="X28" s="71">
        <f t="shared" si="3"/>
        <v>0.71395293136733429</v>
      </c>
      <c r="Y28" s="71">
        <f t="shared" si="4"/>
        <v>0.62060393396644353</v>
      </c>
      <c r="Z28" s="61">
        <f t="shared" si="5"/>
        <v>46</v>
      </c>
      <c r="AA28" s="58">
        <v>0</v>
      </c>
      <c r="AB28" s="61" t="str">
        <f t="shared" si="8"/>
        <v>No</v>
      </c>
      <c r="AG28" s="56" t="b">
        <v>1</v>
      </c>
    </row>
    <row r="29" spans="1:33" x14ac:dyDescent="0.3">
      <c r="A29" s="3">
        <v>843</v>
      </c>
      <c r="B29" s="67">
        <v>8042</v>
      </c>
      <c r="C29" s="52">
        <v>0.1</v>
      </c>
      <c r="D29" s="56" t="s">
        <v>76</v>
      </c>
      <c r="E29" s="52">
        <f t="shared" si="6"/>
        <v>6.5000000000000002E-2</v>
      </c>
      <c r="F29" s="56">
        <f t="shared" si="0"/>
        <v>44</v>
      </c>
      <c r="G29" s="56">
        <v>29389.61</v>
      </c>
      <c r="H29" s="56">
        <v>872248.11</v>
      </c>
      <c r="I29" s="56">
        <v>180</v>
      </c>
      <c r="J29" s="58">
        <v>40026</v>
      </c>
      <c r="K29" s="58">
        <v>40360</v>
      </c>
      <c r="L29" s="56">
        <v>2226110</v>
      </c>
      <c r="M29" s="66" t="s">
        <v>53</v>
      </c>
      <c r="N29" s="66" t="s">
        <v>80</v>
      </c>
      <c r="O29" s="56">
        <v>2941741.32</v>
      </c>
      <c r="P29" s="56">
        <v>2274000</v>
      </c>
      <c r="Q29" s="68">
        <f t="shared" si="7"/>
        <v>0.1699071542316177</v>
      </c>
      <c r="R29" s="69">
        <f t="shared" si="1"/>
        <v>0.77301154406057704</v>
      </c>
      <c r="S29" s="56">
        <v>0</v>
      </c>
      <c r="T29" s="56">
        <f t="shared" si="2"/>
        <v>136</v>
      </c>
      <c r="U29" s="56">
        <v>5133675</v>
      </c>
      <c r="V29" s="70" t="s">
        <v>124</v>
      </c>
      <c r="W29" s="56" t="b">
        <v>0</v>
      </c>
      <c r="X29" s="71">
        <f t="shared" si="3"/>
        <v>0.77301154406057704</v>
      </c>
      <c r="Y29" s="71">
        <f t="shared" si="4"/>
        <v>0.1699071542316177</v>
      </c>
      <c r="Z29" s="61">
        <f t="shared" si="5"/>
        <v>136</v>
      </c>
      <c r="AA29" s="58">
        <v>0</v>
      </c>
      <c r="AB29" s="61" t="str">
        <f t="shared" si="8"/>
        <v>No</v>
      </c>
      <c r="AG29" s="56" t="b">
        <v>1</v>
      </c>
    </row>
    <row r="30" spans="1:33" x14ac:dyDescent="0.3">
      <c r="A30" s="3">
        <v>1647</v>
      </c>
      <c r="B30" s="67">
        <v>7996</v>
      </c>
      <c r="C30" s="52">
        <v>9.0999999999999998E-2</v>
      </c>
      <c r="D30" s="56" t="s">
        <v>76</v>
      </c>
      <c r="E30" s="52">
        <f t="shared" si="6"/>
        <v>5.5999999999999994E-2</v>
      </c>
      <c r="F30" s="56">
        <f t="shared" si="0"/>
        <v>122</v>
      </c>
      <c r="G30" s="56">
        <v>81680.39</v>
      </c>
      <c r="H30" s="56">
        <v>10979730.85</v>
      </c>
      <c r="I30" s="56">
        <v>180</v>
      </c>
      <c r="J30" s="58">
        <v>42675</v>
      </c>
      <c r="K30" s="58">
        <v>42736</v>
      </c>
      <c r="L30" s="56">
        <v>10724159.380000001</v>
      </c>
      <c r="M30" s="66" t="s">
        <v>53</v>
      </c>
      <c r="N30" s="66" t="s">
        <v>78</v>
      </c>
      <c r="O30" s="56">
        <v>13485643.050000001</v>
      </c>
      <c r="P30" s="56">
        <v>8131005</v>
      </c>
      <c r="Q30" s="68">
        <f t="shared" si="7"/>
        <v>0.66377609775569868</v>
      </c>
      <c r="R30" s="69">
        <f t="shared" si="1"/>
        <v>0.60293787770098217</v>
      </c>
      <c r="S30" s="56">
        <v>0</v>
      </c>
      <c r="T30" s="56">
        <f t="shared" si="2"/>
        <v>58</v>
      </c>
      <c r="U30" s="56">
        <v>16541317</v>
      </c>
      <c r="V30" s="70" t="s">
        <v>125</v>
      </c>
      <c r="W30" s="56" t="b">
        <v>0</v>
      </c>
      <c r="X30" s="71">
        <f t="shared" si="3"/>
        <v>0.60293787770098217</v>
      </c>
      <c r="Y30" s="71">
        <f t="shared" si="4"/>
        <v>0.66377609775569868</v>
      </c>
      <c r="Z30" s="61">
        <f t="shared" si="5"/>
        <v>58</v>
      </c>
      <c r="AA30" s="58">
        <v>44530</v>
      </c>
      <c r="AB30" s="61" t="str">
        <f t="shared" si="8"/>
        <v>No</v>
      </c>
      <c r="AG30" s="56" t="b">
        <v>1</v>
      </c>
    </row>
    <row r="31" spans="1:33" x14ac:dyDescent="0.3">
      <c r="A31" s="3">
        <v>1650</v>
      </c>
      <c r="B31" s="67">
        <v>7996</v>
      </c>
      <c r="C31" s="52">
        <v>9.0999999999999998E-2</v>
      </c>
      <c r="D31" s="56" t="s">
        <v>76</v>
      </c>
      <c r="E31" s="52">
        <f t="shared" si="6"/>
        <v>5.5999999999999994E-2</v>
      </c>
      <c r="F31" s="56">
        <f t="shared" si="0"/>
        <v>122</v>
      </c>
      <c r="G31" s="56">
        <v>64326.64</v>
      </c>
      <c r="H31" s="56">
        <v>8646986.8300000001</v>
      </c>
      <c r="I31" s="56">
        <v>180</v>
      </c>
      <c r="J31" s="58">
        <v>42675</v>
      </c>
      <c r="K31" s="58">
        <v>42736</v>
      </c>
      <c r="L31" s="56">
        <v>8471200</v>
      </c>
      <c r="M31" s="66" t="s">
        <v>53</v>
      </c>
      <c r="N31" s="66" t="s">
        <v>79</v>
      </c>
      <c r="O31" s="56">
        <v>12876041.08</v>
      </c>
      <c r="P31" s="56">
        <v>8471200</v>
      </c>
      <c r="Q31" s="68">
        <f t="shared" si="7"/>
        <v>0.61971126513813879</v>
      </c>
      <c r="R31" s="69">
        <f t="shared" si="1"/>
        <v>0.6579040830459979</v>
      </c>
      <c r="S31" s="56">
        <v>0</v>
      </c>
      <c r="T31" s="56">
        <f t="shared" si="2"/>
        <v>58</v>
      </c>
      <c r="U31" s="56">
        <v>13953251</v>
      </c>
      <c r="V31" s="70" t="s">
        <v>125</v>
      </c>
      <c r="W31" s="56" t="b">
        <v>0</v>
      </c>
      <c r="X31" s="71">
        <f t="shared" si="3"/>
        <v>0.6579040830459979</v>
      </c>
      <c r="Y31" s="71">
        <f t="shared" si="4"/>
        <v>0.61971126513813879</v>
      </c>
      <c r="Z31" s="61">
        <f t="shared" si="5"/>
        <v>58</v>
      </c>
      <c r="AA31" s="58">
        <v>44620</v>
      </c>
      <c r="AB31" s="61" t="str">
        <f t="shared" si="8"/>
        <v>Yes</v>
      </c>
      <c r="AG31" s="56" t="b">
        <v>1</v>
      </c>
    </row>
    <row r="32" spans="1:33" x14ac:dyDescent="0.3">
      <c r="A32" s="3">
        <v>1665</v>
      </c>
      <c r="B32" s="67">
        <v>8865</v>
      </c>
      <c r="C32" s="52">
        <v>0.105</v>
      </c>
      <c r="D32" s="56" t="s">
        <v>76</v>
      </c>
      <c r="E32" s="52">
        <f t="shared" si="6"/>
        <v>6.9999999999999993E-2</v>
      </c>
      <c r="F32" s="56">
        <f t="shared" si="0"/>
        <v>123</v>
      </c>
      <c r="G32" s="56">
        <v>35087.65</v>
      </c>
      <c r="H32" s="56">
        <v>2640687.0299999998</v>
      </c>
      <c r="I32" s="56">
        <v>180</v>
      </c>
      <c r="J32" s="58">
        <v>42705</v>
      </c>
      <c r="K32" s="58">
        <v>42767</v>
      </c>
      <c r="L32" s="56">
        <v>2879203</v>
      </c>
      <c r="M32" s="66" t="s">
        <v>53</v>
      </c>
      <c r="N32" s="66" t="s">
        <v>80</v>
      </c>
      <c r="O32" s="56">
        <v>3587546.03</v>
      </c>
      <c r="P32" s="56">
        <v>2879203</v>
      </c>
      <c r="Q32" s="68">
        <f t="shared" si="7"/>
        <v>0.52248164667111452</v>
      </c>
      <c r="R32" s="69">
        <f t="shared" si="1"/>
        <v>0.8025549988553039</v>
      </c>
      <c r="S32" s="56">
        <v>0</v>
      </c>
      <c r="T32" s="56">
        <f t="shared" si="2"/>
        <v>57</v>
      </c>
      <c r="U32" s="56">
        <v>5054124</v>
      </c>
      <c r="V32" s="70" t="s">
        <v>124</v>
      </c>
      <c r="W32" s="56" t="b">
        <v>0</v>
      </c>
      <c r="X32" s="71">
        <f t="shared" si="3"/>
        <v>0.8025549988553039</v>
      </c>
      <c r="Y32" s="71">
        <f t="shared" si="4"/>
        <v>0.52248164667111452</v>
      </c>
      <c r="Z32" s="61">
        <f t="shared" si="5"/>
        <v>57</v>
      </c>
      <c r="AA32" s="58">
        <v>0</v>
      </c>
      <c r="AB32" s="61" t="str">
        <f t="shared" si="8"/>
        <v>No</v>
      </c>
      <c r="AG32" s="56" t="b">
        <v>1</v>
      </c>
    </row>
    <row r="33" spans="1:33" x14ac:dyDescent="0.3">
      <c r="A33" s="3">
        <v>1666</v>
      </c>
      <c r="B33" s="67">
        <v>8943</v>
      </c>
      <c r="C33" s="52">
        <v>0.105</v>
      </c>
      <c r="D33" s="56" t="s">
        <v>76</v>
      </c>
      <c r="E33" s="52">
        <f t="shared" si="6"/>
        <v>6.9999999999999993E-2</v>
      </c>
      <c r="F33" s="56">
        <f t="shared" si="0"/>
        <v>123</v>
      </c>
      <c r="G33" s="56">
        <v>20917.32</v>
      </c>
      <c r="H33" s="56">
        <v>1574310.25</v>
      </c>
      <c r="I33" s="56">
        <v>180</v>
      </c>
      <c r="J33" s="58">
        <v>42705</v>
      </c>
      <c r="K33" s="58">
        <v>42767</v>
      </c>
      <c r="L33" s="56">
        <v>1738107.74</v>
      </c>
      <c r="M33" s="66" t="s">
        <v>53</v>
      </c>
      <c r="N33" s="66" t="s">
        <v>92</v>
      </c>
      <c r="O33" s="56">
        <v>2243314.59</v>
      </c>
      <c r="P33" s="56">
        <v>1804040</v>
      </c>
      <c r="Q33" s="68">
        <f t="shared" si="7"/>
        <v>0.56361781712380288</v>
      </c>
      <c r="R33" s="69">
        <f t="shared" si="1"/>
        <v>0.80418502515957879</v>
      </c>
      <c r="S33" s="56">
        <v>0</v>
      </c>
      <c r="T33" s="56">
        <f t="shared" si="2"/>
        <v>57</v>
      </c>
      <c r="U33" s="56">
        <v>2793223</v>
      </c>
      <c r="V33" s="70" t="s">
        <v>124</v>
      </c>
      <c r="W33" s="56" t="b">
        <v>0</v>
      </c>
      <c r="X33" s="71">
        <f t="shared" si="3"/>
        <v>0.80418502515957879</v>
      </c>
      <c r="Y33" s="71">
        <f t="shared" si="4"/>
        <v>0.56361781712380288</v>
      </c>
      <c r="Z33" s="61">
        <f t="shared" si="5"/>
        <v>57</v>
      </c>
      <c r="AA33" s="58">
        <v>44104</v>
      </c>
      <c r="AB33" s="61" t="str">
        <f t="shared" si="8"/>
        <v>No</v>
      </c>
      <c r="AG33" s="56" t="b">
        <v>1</v>
      </c>
    </row>
    <row r="34" spans="1:33" x14ac:dyDescent="0.3">
      <c r="A34" s="3">
        <v>1673</v>
      </c>
      <c r="B34" s="67">
        <v>8943</v>
      </c>
      <c r="C34" s="52">
        <v>0.1</v>
      </c>
      <c r="D34" s="56" t="s">
        <v>76</v>
      </c>
      <c r="E34" s="52">
        <f t="shared" si="6"/>
        <v>6.5000000000000002E-2</v>
      </c>
      <c r="F34" s="56">
        <f t="shared" si="0"/>
        <v>132</v>
      </c>
      <c r="G34" s="56">
        <v>27969.67</v>
      </c>
      <c r="H34" s="56">
        <v>2169458.86</v>
      </c>
      <c r="I34" s="56">
        <v>180</v>
      </c>
      <c r="J34" s="58">
        <v>42767</v>
      </c>
      <c r="K34" s="58">
        <v>43040</v>
      </c>
      <c r="L34" s="56">
        <v>2354121.06</v>
      </c>
      <c r="M34" s="66" t="s">
        <v>53</v>
      </c>
      <c r="N34" s="66" t="s">
        <v>93</v>
      </c>
      <c r="O34" s="56">
        <v>3188301.14</v>
      </c>
      <c r="P34" s="56">
        <v>1844412</v>
      </c>
      <c r="Q34" s="68">
        <f t="shared" si="7"/>
        <v>0.51889000160489418</v>
      </c>
      <c r="R34" s="69">
        <f t="shared" si="1"/>
        <v>0.57849366136098423</v>
      </c>
      <c r="S34" s="56">
        <v>0</v>
      </c>
      <c r="T34" s="56">
        <f t="shared" si="2"/>
        <v>48</v>
      </c>
      <c r="U34" s="56">
        <v>4180961</v>
      </c>
      <c r="V34" s="70" t="s">
        <v>124</v>
      </c>
      <c r="W34" s="56" t="b">
        <v>0</v>
      </c>
      <c r="X34" s="71">
        <f t="shared" si="3"/>
        <v>0.57849366136098423</v>
      </c>
      <c r="Y34" s="71">
        <f t="shared" si="4"/>
        <v>0.51889000160489418</v>
      </c>
      <c r="Z34" s="61">
        <f t="shared" si="5"/>
        <v>48</v>
      </c>
      <c r="AA34" s="58">
        <v>0</v>
      </c>
      <c r="AB34" s="61" t="str">
        <f t="shared" si="8"/>
        <v>No</v>
      </c>
      <c r="AG34" s="56" t="b">
        <v>1</v>
      </c>
    </row>
    <row r="35" spans="1:33" x14ac:dyDescent="0.3">
      <c r="A35" s="3">
        <v>1692</v>
      </c>
      <c r="B35" s="67">
        <v>7996</v>
      </c>
      <c r="C35" s="52">
        <v>9.4399999999999998E-2</v>
      </c>
      <c r="D35" s="56" t="s">
        <v>76</v>
      </c>
      <c r="E35" s="52">
        <f t="shared" si="6"/>
        <v>5.9399999999999994E-2</v>
      </c>
      <c r="F35" s="56">
        <f t="shared" ref="F35:F66" si="9">I35-T35</f>
        <v>127</v>
      </c>
      <c r="G35" s="56">
        <v>16084.67</v>
      </c>
      <c r="H35" s="56">
        <v>2084696</v>
      </c>
      <c r="I35" s="56">
        <v>180</v>
      </c>
      <c r="J35" s="58">
        <v>42856</v>
      </c>
      <c r="K35" s="58">
        <v>42887</v>
      </c>
      <c r="L35" s="56">
        <v>2040053.15</v>
      </c>
      <c r="M35" s="66" t="s">
        <v>53</v>
      </c>
      <c r="N35" s="66" t="s">
        <v>80</v>
      </c>
      <c r="O35" s="56">
        <v>2737172</v>
      </c>
      <c r="P35" s="56">
        <v>2043621</v>
      </c>
      <c r="Q35" s="68">
        <f t="shared" si="7"/>
        <v>0.60715451729128245</v>
      </c>
      <c r="R35" s="69">
        <f t="shared" ref="R35:R66" si="10">P35/O35</f>
        <v>0.7466176769307884</v>
      </c>
      <c r="S35" s="56">
        <v>0</v>
      </c>
      <c r="T35" s="56">
        <f t="shared" ref="T35:T66" si="11">+DATEDIF(EOMONTH($K35,-1),$Z$1+1,"M")</f>
        <v>53</v>
      </c>
      <c r="U35" s="56">
        <v>3433551</v>
      </c>
      <c r="V35" s="70" t="s">
        <v>125</v>
      </c>
      <c r="W35" s="56" t="b">
        <v>0</v>
      </c>
      <c r="X35" s="71">
        <f t="shared" ref="X35:X66" si="12">+P35/O35</f>
        <v>0.7466176769307884</v>
      </c>
      <c r="Y35" s="71">
        <f t="shared" ref="Y35:Y66" si="13">+H35/U35</f>
        <v>0.60715451729128245</v>
      </c>
      <c r="Z35" s="61">
        <f t="shared" ref="Z35:Z66" si="14">+DATEDIF(EOMONTH(K35,-1),$Z$1+1,"M")</f>
        <v>53</v>
      </c>
      <c r="AA35" s="58">
        <v>44712</v>
      </c>
      <c r="AB35" s="61" t="str">
        <f t="shared" si="8"/>
        <v>Yes</v>
      </c>
      <c r="AG35" s="56" t="b">
        <v>1</v>
      </c>
    </row>
    <row r="36" spans="1:33" x14ac:dyDescent="0.3">
      <c r="A36" s="3">
        <v>1705</v>
      </c>
      <c r="B36" s="67">
        <v>8865</v>
      </c>
      <c r="C36" s="52">
        <v>0.105</v>
      </c>
      <c r="D36" s="56" t="s">
        <v>76</v>
      </c>
      <c r="E36" s="52">
        <f t="shared" si="6"/>
        <v>6.9999999999999993E-2</v>
      </c>
      <c r="F36" s="56">
        <f t="shared" si="9"/>
        <v>133</v>
      </c>
      <c r="G36" s="56">
        <v>22974.25</v>
      </c>
      <c r="H36" s="56">
        <v>1775490.73</v>
      </c>
      <c r="I36" s="56">
        <v>180</v>
      </c>
      <c r="J36" s="58">
        <v>42887</v>
      </c>
      <c r="K36" s="58">
        <v>43070</v>
      </c>
      <c r="L36" s="56">
        <v>1757357</v>
      </c>
      <c r="M36" s="66" t="s">
        <v>53</v>
      </c>
      <c r="N36" s="66" t="s">
        <v>94</v>
      </c>
      <c r="O36" s="56">
        <v>2046584.15</v>
      </c>
      <c r="P36" s="56">
        <v>1441987</v>
      </c>
      <c r="Q36" s="68">
        <f t="shared" si="7"/>
        <v>0.50768950742851848</v>
      </c>
      <c r="R36" s="69">
        <f t="shared" si="10"/>
        <v>0.70458231585542186</v>
      </c>
      <c r="S36" s="56">
        <v>0</v>
      </c>
      <c r="T36" s="56">
        <f t="shared" si="11"/>
        <v>47</v>
      </c>
      <c r="U36" s="56">
        <v>3497198</v>
      </c>
      <c r="V36" s="70" t="s">
        <v>124</v>
      </c>
      <c r="W36" s="56" t="b">
        <v>0</v>
      </c>
      <c r="X36" s="71">
        <f t="shared" si="12"/>
        <v>0.70458231585542186</v>
      </c>
      <c r="Y36" s="71">
        <f t="shared" si="13"/>
        <v>0.50768950742851848</v>
      </c>
      <c r="Z36" s="61">
        <f t="shared" si="14"/>
        <v>47</v>
      </c>
      <c r="AA36" s="58">
        <v>0</v>
      </c>
      <c r="AB36" s="61" t="str">
        <f t="shared" si="8"/>
        <v>No</v>
      </c>
      <c r="AG36" s="56" t="b">
        <v>1</v>
      </c>
    </row>
    <row r="37" spans="1:33" x14ac:dyDescent="0.3">
      <c r="A37" s="3">
        <v>1738</v>
      </c>
      <c r="B37" s="67">
        <v>7996</v>
      </c>
      <c r="C37" s="52">
        <v>9.4299999999999995E-2</v>
      </c>
      <c r="D37" s="56" t="s">
        <v>76</v>
      </c>
      <c r="E37" s="52">
        <f t="shared" si="6"/>
        <v>5.9299999999999992E-2</v>
      </c>
      <c r="F37" s="56">
        <f t="shared" si="9"/>
        <v>131</v>
      </c>
      <c r="G37" s="56">
        <v>249529.07</v>
      </c>
      <c r="H37" s="56">
        <v>32374978.43</v>
      </c>
      <c r="I37" s="56">
        <v>180</v>
      </c>
      <c r="J37" s="58">
        <v>42948</v>
      </c>
      <c r="K37" s="58">
        <v>43009</v>
      </c>
      <c r="L37" s="56">
        <v>31417376.600000001</v>
      </c>
      <c r="M37" s="66" t="s">
        <v>53</v>
      </c>
      <c r="N37" s="66" t="s">
        <v>79</v>
      </c>
      <c r="O37" s="56">
        <v>55038761.380000003</v>
      </c>
      <c r="P37" s="56">
        <v>33023333</v>
      </c>
      <c r="Q37" s="68">
        <f t="shared" si="7"/>
        <v>0.62048426687545366</v>
      </c>
      <c r="R37" s="69">
        <f t="shared" si="10"/>
        <v>0.60000138397009828</v>
      </c>
      <c r="S37" s="56">
        <v>0</v>
      </c>
      <c r="T37" s="56">
        <f t="shared" si="11"/>
        <v>49</v>
      </c>
      <c r="U37" s="56">
        <v>52176953</v>
      </c>
      <c r="V37" s="70" t="s">
        <v>125</v>
      </c>
      <c r="W37" s="56" t="b">
        <v>0</v>
      </c>
      <c r="X37" s="71">
        <f t="shared" si="12"/>
        <v>0.60000138397009828</v>
      </c>
      <c r="Y37" s="71">
        <f t="shared" si="13"/>
        <v>0.62048426687545366</v>
      </c>
      <c r="Z37" s="61">
        <f t="shared" si="14"/>
        <v>49</v>
      </c>
      <c r="AA37" s="58">
        <v>44834</v>
      </c>
      <c r="AB37" s="61" t="str">
        <f t="shared" si="8"/>
        <v>Yes</v>
      </c>
      <c r="AG37" s="56" t="b">
        <v>1</v>
      </c>
    </row>
    <row r="38" spans="1:33" x14ac:dyDescent="0.3">
      <c r="A38" s="3">
        <v>1742</v>
      </c>
      <c r="B38" s="67">
        <v>8943</v>
      </c>
      <c r="C38" s="52">
        <v>0.105</v>
      </c>
      <c r="D38" s="56" t="s">
        <v>76</v>
      </c>
      <c r="E38" s="52">
        <f t="shared" si="6"/>
        <v>6.9999999999999993E-2</v>
      </c>
      <c r="F38" s="56">
        <f t="shared" si="9"/>
        <v>139</v>
      </c>
      <c r="G38" s="56">
        <v>32270.5</v>
      </c>
      <c r="H38" s="56">
        <v>2553937.73</v>
      </c>
      <c r="I38" s="56">
        <v>180</v>
      </c>
      <c r="J38" s="58">
        <v>42979</v>
      </c>
      <c r="K38" s="58">
        <v>43252</v>
      </c>
      <c r="L38" s="56">
        <v>2594665.67</v>
      </c>
      <c r="M38" s="66" t="s">
        <v>53</v>
      </c>
      <c r="N38" s="66" t="s">
        <v>92</v>
      </c>
      <c r="O38" s="56">
        <v>3129667.76</v>
      </c>
      <c r="P38" s="56">
        <v>2374116</v>
      </c>
      <c r="Q38" s="68">
        <f t="shared" si="7"/>
        <v>0.61158479276731859</v>
      </c>
      <c r="R38" s="69">
        <f t="shared" si="10"/>
        <v>0.75858403576998223</v>
      </c>
      <c r="S38" s="56">
        <v>17884.03</v>
      </c>
      <c r="T38" s="56">
        <f t="shared" si="11"/>
        <v>41</v>
      </c>
      <c r="U38" s="56">
        <v>4175934</v>
      </c>
      <c r="V38" s="70" t="s">
        <v>124</v>
      </c>
      <c r="W38" s="56" t="b">
        <v>0</v>
      </c>
      <c r="X38" s="71">
        <f t="shared" si="12"/>
        <v>0.75858403576998223</v>
      </c>
      <c r="Y38" s="71">
        <f t="shared" si="13"/>
        <v>0.61158479276731859</v>
      </c>
      <c r="Z38" s="61">
        <f t="shared" si="14"/>
        <v>41</v>
      </c>
      <c r="AA38" s="58">
        <v>44104</v>
      </c>
      <c r="AB38" s="61" t="str">
        <f t="shared" si="8"/>
        <v>No</v>
      </c>
      <c r="AG38" s="56" t="b">
        <v>1</v>
      </c>
    </row>
    <row r="39" spans="1:33" x14ac:dyDescent="0.3">
      <c r="A39" s="3">
        <v>1747</v>
      </c>
      <c r="B39" s="67">
        <v>7968</v>
      </c>
      <c r="C39" s="52">
        <v>0.10099999999999999</v>
      </c>
      <c r="D39" s="56" t="s">
        <v>76</v>
      </c>
      <c r="E39" s="52">
        <f t="shared" si="6"/>
        <v>6.5999999999999989E-2</v>
      </c>
      <c r="F39" s="56">
        <f t="shared" si="9"/>
        <v>133</v>
      </c>
      <c r="G39" s="56">
        <v>59312.32</v>
      </c>
      <c r="H39" s="56">
        <v>4751156.5</v>
      </c>
      <c r="I39" s="56">
        <v>180</v>
      </c>
      <c r="J39" s="58">
        <v>43040</v>
      </c>
      <c r="K39" s="58">
        <v>43070</v>
      </c>
      <c r="L39" s="56">
        <v>5440029.0300000003</v>
      </c>
      <c r="M39" s="66" t="s">
        <v>53</v>
      </c>
      <c r="N39" s="66" t="s">
        <v>78</v>
      </c>
      <c r="O39" s="56">
        <v>10584989.66</v>
      </c>
      <c r="P39" s="56">
        <v>5339846</v>
      </c>
      <c r="Q39" s="68">
        <f t="shared" si="7"/>
        <v>0.43192331818181817</v>
      </c>
      <c r="R39" s="69">
        <f t="shared" si="10"/>
        <v>0.50447342619321933</v>
      </c>
      <c r="S39" s="56">
        <v>0</v>
      </c>
      <c r="T39" s="56">
        <f t="shared" si="11"/>
        <v>47</v>
      </c>
      <c r="U39" s="56">
        <v>11000000</v>
      </c>
      <c r="V39" s="70" t="s">
        <v>124</v>
      </c>
      <c r="W39" s="56" t="b">
        <v>0</v>
      </c>
      <c r="X39" s="71">
        <f t="shared" si="12"/>
        <v>0.50447342619321933</v>
      </c>
      <c r="Y39" s="71">
        <f t="shared" si="13"/>
        <v>0.43192331818181817</v>
      </c>
      <c r="Z39" s="61">
        <f t="shared" si="14"/>
        <v>47</v>
      </c>
      <c r="AA39" s="58">
        <v>0</v>
      </c>
      <c r="AB39" s="61" t="str">
        <f t="shared" si="8"/>
        <v>No</v>
      </c>
      <c r="AG39" s="56" t="b">
        <v>1</v>
      </c>
    </row>
    <row r="40" spans="1:33" x14ac:dyDescent="0.3">
      <c r="A40" s="3">
        <v>1755</v>
      </c>
      <c r="B40" s="67">
        <v>9663</v>
      </c>
      <c r="C40" s="52">
        <v>0.115</v>
      </c>
      <c r="D40" s="56" t="s">
        <v>76</v>
      </c>
      <c r="E40" s="52">
        <f t="shared" si="6"/>
        <v>0.08</v>
      </c>
      <c r="F40" s="56">
        <f t="shared" si="9"/>
        <v>140</v>
      </c>
      <c r="G40" s="56">
        <v>14627.31</v>
      </c>
      <c r="H40" s="56">
        <v>1104328.8600000001</v>
      </c>
      <c r="I40" s="56">
        <v>180</v>
      </c>
      <c r="J40" s="58">
        <v>43040</v>
      </c>
      <c r="K40" s="58">
        <v>43282</v>
      </c>
      <c r="L40" s="56">
        <v>1151506</v>
      </c>
      <c r="M40" s="66" t="s">
        <v>53</v>
      </c>
      <c r="N40" s="66" t="s">
        <v>95</v>
      </c>
      <c r="O40" s="56">
        <v>1770160.13</v>
      </c>
      <c r="P40" s="56">
        <v>1207545</v>
      </c>
      <c r="Q40" s="68">
        <f t="shared" si="7"/>
        <v>0.5596420877555458</v>
      </c>
      <c r="R40" s="69">
        <f t="shared" si="10"/>
        <v>0.68216709863417846</v>
      </c>
      <c r="S40" s="56">
        <v>0</v>
      </c>
      <c r="T40" s="56">
        <f t="shared" si="11"/>
        <v>40</v>
      </c>
      <c r="U40" s="56">
        <v>1973277</v>
      </c>
      <c r="V40" s="70" t="s">
        <v>124</v>
      </c>
      <c r="W40" s="56" t="b">
        <v>0</v>
      </c>
      <c r="X40" s="71">
        <f t="shared" si="12"/>
        <v>0.68216709863417846</v>
      </c>
      <c r="Y40" s="71">
        <f t="shared" si="13"/>
        <v>0.5596420877555458</v>
      </c>
      <c r="Z40" s="61">
        <f t="shared" si="14"/>
        <v>40</v>
      </c>
      <c r="AA40" s="58">
        <v>0</v>
      </c>
      <c r="AB40" s="61" t="str">
        <f t="shared" si="8"/>
        <v>No</v>
      </c>
      <c r="AG40" s="56" t="b">
        <v>1</v>
      </c>
    </row>
    <row r="41" spans="1:33" x14ac:dyDescent="0.3">
      <c r="A41" s="3">
        <v>1759</v>
      </c>
      <c r="B41" s="67">
        <v>9663</v>
      </c>
      <c r="C41" s="52">
        <v>0.115</v>
      </c>
      <c r="D41" s="56" t="s">
        <v>76</v>
      </c>
      <c r="E41" s="52">
        <f t="shared" si="6"/>
        <v>0.08</v>
      </c>
      <c r="F41" s="56">
        <f t="shared" si="9"/>
        <v>141</v>
      </c>
      <c r="G41" s="56">
        <v>10616.97</v>
      </c>
      <c r="H41" s="56">
        <v>804532.55</v>
      </c>
      <c r="I41" s="56">
        <v>180</v>
      </c>
      <c r="J41" s="58">
        <v>43040</v>
      </c>
      <c r="K41" s="58">
        <v>43313</v>
      </c>
      <c r="L41" s="56">
        <v>839173</v>
      </c>
      <c r="M41" s="66" t="s">
        <v>53</v>
      </c>
      <c r="N41" s="66" t="s">
        <v>92</v>
      </c>
      <c r="O41" s="56">
        <v>1259138.29</v>
      </c>
      <c r="P41" s="56">
        <v>937941</v>
      </c>
      <c r="Q41" s="68">
        <f t="shared" si="7"/>
        <v>0.47421989709638274</v>
      </c>
      <c r="R41" s="69">
        <f t="shared" si="10"/>
        <v>0.7449070586202251</v>
      </c>
      <c r="S41" s="56">
        <v>0</v>
      </c>
      <c r="T41" s="56">
        <f t="shared" si="11"/>
        <v>39</v>
      </c>
      <c r="U41" s="56">
        <v>1696539</v>
      </c>
      <c r="V41" s="70" t="s">
        <v>124</v>
      </c>
      <c r="W41" s="56" t="b">
        <v>0</v>
      </c>
      <c r="X41" s="71">
        <f t="shared" si="12"/>
        <v>0.7449070586202251</v>
      </c>
      <c r="Y41" s="71">
        <f t="shared" si="13"/>
        <v>0.47421989709638274</v>
      </c>
      <c r="Z41" s="61">
        <f t="shared" si="14"/>
        <v>39</v>
      </c>
      <c r="AA41" s="58">
        <v>0</v>
      </c>
      <c r="AB41" s="61" t="str">
        <f t="shared" si="8"/>
        <v>No</v>
      </c>
      <c r="AG41" s="56" t="b">
        <v>1</v>
      </c>
    </row>
    <row r="42" spans="1:33" x14ac:dyDescent="0.3">
      <c r="A42" s="3">
        <v>1764</v>
      </c>
      <c r="B42" s="67">
        <v>9697</v>
      </c>
      <c r="C42" s="52">
        <v>0.1075</v>
      </c>
      <c r="D42" s="56" t="s">
        <v>76</v>
      </c>
      <c r="E42" s="52">
        <f t="shared" si="6"/>
        <v>7.2499999999999995E-2</v>
      </c>
      <c r="F42" s="56">
        <f t="shared" si="9"/>
        <v>141</v>
      </c>
      <c r="G42" s="56">
        <v>13547.26</v>
      </c>
      <c r="H42" s="56">
        <v>1061073.6599999999</v>
      </c>
      <c r="I42" s="56">
        <v>180</v>
      </c>
      <c r="J42" s="58">
        <v>43070</v>
      </c>
      <c r="K42" s="58">
        <v>43313</v>
      </c>
      <c r="L42" s="56">
        <v>1136636</v>
      </c>
      <c r="M42" s="66" t="s">
        <v>53</v>
      </c>
      <c r="N42" s="66" t="s">
        <v>96</v>
      </c>
      <c r="O42" s="56">
        <v>1786861.89</v>
      </c>
      <c r="P42" s="56">
        <v>1177509</v>
      </c>
      <c r="Q42" s="68">
        <f t="shared" si="7"/>
        <v>0.59381992219876079</v>
      </c>
      <c r="R42" s="69">
        <f t="shared" si="10"/>
        <v>0.65898153997788833</v>
      </c>
      <c r="S42" s="56">
        <v>0</v>
      </c>
      <c r="T42" s="56">
        <f t="shared" si="11"/>
        <v>39</v>
      </c>
      <c r="U42" s="56">
        <v>1786861</v>
      </c>
      <c r="V42" s="70" t="s">
        <v>124</v>
      </c>
      <c r="W42" s="56" t="b">
        <v>0</v>
      </c>
      <c r="X42" s="71">
        <f t="shared" si="12"/>
        <v>0.65898153997788833</v>
      </c>
      <c r="Y42" s="71">
        <f t="shared" si="13"/>
        <v>0.59381992219876079</v>
      </c>
      <c r="Z42" s="61">
        <f t="shared" si="14"/>
        <v>39</v>
      </c>
      <c r="AA42" s="58">
        <v>0</v>
      </c>
      <c r="AB42" s="61" t="str">
        <f t="shared" si="8"/>
        <v>No</v>
      </c>
      <c r="AG42" s="56" t="b">
        <v>1</v>
      </c>
    </row>
    <row r="43" spans="1:33" x14ac:dyDescent="0.3">
      <c r="A43" s="3">
        <v>1768</v>
      </c>
      <c r="B43" s="67">
        <v>8685</v>
      </c>
      <c r="C43" s="52">
        <v>0.105</v>
      </c>
      <c r="D43" s="56" t="s">
        <v>76</v>
      </c>
      <c r="E43" s="52">
        <f t="shared" si="6"/>
        <v>6.9999999999999993E-2</v>
      </c>
      <c r="F43" s="56">
        <f t="shared" si="9"/>
        <v>135</v>
      </c>
      <c r="G43" s="56">
        <v>177781.31</v>
      </c>
      <c r="H43" s="56">
        <v>14080109.880000001</v>
      </c>
      <c r="I43" s="56">
        <v>180</v>
      </c>
      <c r="J43" s="58">
        <v>43070</v>
      </c>
      <c r="K43" s="58">
        <v>43132</v>
      </c>
      <c r="L43" s="56">
        <v>15131470.199999999</v>
      </c>
      <c r="M43" s="66" t="s">
        <v>62</v>
      </c>
      <c r="N43" s="66" t="s">
        <v>62</v>
      </c>
      <c r="O43" s="56">
        <v>15809348.9</v>
      </c>
      <c r="P43" s="56">
        <v>12703246</v>
      </c>
      <c r="Q43" s="68">
        <f t="shared" si="7"/>
        <v>0.7379512515723271</v>
      </c>
      <c r="R43" s="69">
        <f t="shared" si="10"/>
        <v>0.80352746215879889</v>
      </c>
      <c r="S43" s="56">
        <v>0</v>
      </c>
      <c r="T43" s="56">
        <f t="shared" si="11"/>
        <v>45</v>
      </c>
      <c r="U43" s="56">
        <v>19080000</v>
      </c>
      <c r="V43" s="70" t="s">
        <v>124</v>
      </c>
      <c r="W43" s="56" t="b">
        <v>0</v>
      </c>
      <c r="X43" s="71">
        <f t="shared" si="12"/>
        <v>0.80352746215879889</v>
      </c>
      <c r="Y43" s="71">
        <f t="shared" si="13"/>
        <v>0.7379512515723271</v>
      </c>
      <c r="Z43" s="61">
        <f t="shared" si="14"/>
        <v>45</v>
      </c>
      <c r="AA43" s="58">
        <v>44043</v>
      </c>
      <c r="AB43" s="61" t="str">
        <f t="shared" si="8"/>
        <v>No</v>
      </c>
      <c r="AG43" s="56" t="b">
        <v>1</v>
      </c>
    </row>
    <row r="44" spans="1:33" x14ac:dyDescent="0.3">
      <c r="A44" s="3">
        <v>1772</v>
      </c>
      <c r="B44" s="67">
        <v>9634</v>
      </c>
      <c r="C44" s="52">
        <v>0.105</v>
      </c>
      <c r="D44" s="56" t="s">
        <v>76</v>
      </c>
      <c r="E44" s="52">
        <f t="shared" si="6"/>
        <v>6.9999999999999993E-2</v>
      </c>
      <c r="F44" s="56">
        <f t="shared" si="9"/>
        <v>137</v>
      </c>
      <c r="G44" s="56">
        <v>27813.119999999999</v>
      </c>
      <c r="H44" s="56">
        <v>2219945.65</v>
      </c>
      <c r="I44" s="56">
        <v>180</v>
      </c>
      <c r="J44" s="58">
        <v>43101</v>
      </c>
      <c r="K44" s="58">
        <v>43191</v>
      </c>
      <c r="L44" s="56">
        <v>2441600</v>
      </c>
      <c r="M44" s="66" t="s">
        <v>53</v>
      </c>
      <c r="N44" s="66" t="s">
        <v>79</v>
      </c>
      <c r="O44" s="56">
        <v>8130561.1299999999</v>
      </c>
      <c r="P44" s="56">
        <v>5691600</v>
      </c>
      <c r="Q44" s="68">
        <f t="shared" si="7"/>
        <v>0.24412578834215837</v>
      </c>
      <c r="R44" s="69">
        <f t="shared" si="10"/>
        <v>0.7000254852028891</v>
      </c>
      <c r="S44" s="56">
        <v>0</v>
      </c>
      <c r="T44" s="56">
        <f t="shared" si="11"/>
        <v>43</v>
      </c>
      <c r="U44" s="56">
        <v>9093450</v>
      </c>
      <c r="V44" s="70" t="s">
        <v>124</v>
      </c>
      <c r="W44" s="56" t="b">
        <v>0</v>
      </c>
      <c r="X44" s="71">
        <f t="shared" si="12"/>
        <v>0.7000254852028891</v>
      </c>
      <c r="Y44" s="71">
        <f t="shared" si="13"/>
        <v>0.24412578834215837</v>
      </c>
      <c r="Z44" s="61">
        <f t="shared" si="14"/>
        <v>43</v>
      </c>
      <c r="AA44" s="58">
        <v>0</v>
      </c>
      <c r="AB44" s="61" t="str">
        <f t="shared" si="8"/>
        <v>No</v>
      </c>
      <c r="AG44" s="56" t="b">
        <v>1</v>
      </c>
    </row>
    <row r="45" spans="1:33" x14ac:dyDescent="0.3">
      <c r="A45" s="3">
        <v>1793</v>
      </c>
      <c r="B45" s="67">
        <v>9633</v>
      </c>
      <c r="C45" s="52">
        <v>9.7500000000000003E-2</v>
      </c>
      <c r="D45" s="56" t="s">
        <v>76</v>
      </c>
      <c r="E45" s="52">
        <f t="shared" si="6"/>
        <v>6.25E-2</v>
      </c>
      <c r="F45" s="56">
        <f t="shared" si="9"/>
        <v>138</v>
      </c>
      <c r="G45" s="56">
        <v>25875</v>
      </c>
      <c r="H45" s="56">
        <v>3247566.54</v>
      </c>
      <c r="I45" s="56">
        <v>180</v>
      </c>
      <c r="J45" s="58">
        <v>43160</v>
      </c>
      <c r="K45" s="58">
        <v>43221</v>
      </c>
      <c r="L45" s="56">
        <v>3218100</v>
      </c>
      <c r="M45" s="66" t="s">
        <v>53</v>
      </c>
      <c r="N45" s="66" t="s">
        <v>79</v>
      </c>
      <c r="O45" s="56">
        <v>6558004.5700000003</v>
      </c>
      <c r="P45" s="56">
        <v>3218100</v>
      </c>
      <c r="Q45" s="68">
        <f t="shared" si="7"/>
        <v>0.45238910042511865</v>
      </c>
      <c r="R45" s="69">
        <f t="shared" si="10"/>
        <v>0.49071329024706672</v>
      </c>
      <c r="S45" s="56">
        <v>0</v>
      </c>
      <c r="T45" s="56">
        <f t="shared" si="11"/>
        <v>42</v>
      </c>
      <c r="U45" s="56">
        <v>7178702</v>
      </c>
      <c r="V45" s="70" t="s">
        <v>125</v>
      </c>
      <c r="W45" s="56" t="b">
        <v>0</v>
      </c>
      <c r="X45" s="71">
        <f t="shared" si="12"/>
        <v>0.49071329024706672</v>
      </c>
      <c r="Y45" s="71">
        <f t="shared" si="13"/>
        <v>0.45238910042511865</v>
      </c>
      <c r="Z45" s="61">
        <f t="shared" si="14"/>
        <v>42</v>
      </c>
      <c r="AA45" s="58">
        <v>45138</v>
      </c>
      <c r="AB45" s="61" t="str">
        <f t="shared" si="8"/>
        <v>Yes</v>
      </c>
      <c r="AG45" s="56" t="b">
        <v>1</v>
      </c>
    </row>
    <row r="46" spans="1:33" x14ac:dyDescent="0.3">
      <c r="A46" s="3">
        <v>1804</v>
      </c>
      <c r="B46" s="67">
        <v>9692</v>
      </c>
      <c r="C46" s="52">
        <v>0.115</v>
      </c>
      <c r="D46" s="56" t="s">
        <v>76</v>
      </c>
      <c r="E46" s="52">
        <f t="shared" si="6"/>
        <v>0.08</v>
      </c>
      <c r="F46" s="56">
        <f t="shared" si="9"/>
        <v>139</v>
      </c>
      <c r="G46" s="56">
        <v>35157.699999999997</v>
      </c>
      <c r="H46" s="56">
        <v>2702663.74</v>
      </c>
      <c r="I46" s="56">
        <v>180</v>
      </c>
      <c r="J46" s="58">
        <v>43191</v>
      </c>
      <c r="K46" s="58">
        <v>43252</v>
      </c>
      <c r="L46" s="56">
        <v>2829582.28</v>
      </c>
      <c r="M46" s="66" t="s">
        <v>53</v>
      </c>
      <c r="N46" s="66" t="s">
        <v>97</v>
      </c>
      <c r="O46" s="56">
        <v>4265545</v>
      </c>
      <c r="P46" s="56">
        <v>3217874</v>
      </c>
      <c r="Q46" s="68">
        <f t="shared" si="7"/>
        <v>0.61740145133663604</v>
      </c>
      <c r="R46" s="69">
        <f t="shared" si="10"/>
        <v>0.75438754016192533</v>
      </c>
      <c r="S46" s="56">
        <v>0</v>
      </c>
      <c r="T46" s="56">
        <f t="shared" si="11"/>
        <v>41</v>
      </c>
      <c r="U46" s="56">
        <v>4377482</v>
      </c>
      <c r="V46" s="70" t="s">
        <v>124</v>
      </c>
      <c r="W46" s="56" t="b">
        <v>0</v>
      </c>
      <c r="X46" s="71">
        <f t="shared" si="12"/>
        <v>0.75438754016192533</v>
      </c>
      <c r="Y46" s="71">
        <f t="shared" si="13"/>
        <v>0.61740145133663604</v>
      </c>
      <c r="Z46" s="61">
        <f t="shared" si="14"/>
        <v>41</v>
      </c>
      <c r="AA46" s="58">
        <v>0</v>
      </c>
      <c r="AB46" s="61" t="str">
        <f t="shared" si="8"/>
        <v>No</v>
      </c>
      <c r="AG46" s="56" t="b">
        <v>1</v>
      </c>
    </row>
    <row r="47" spans="1:33" x14ac:dyDescent="0.3">
      <c r="A47" s="3">
        <v>1950</v>
      </c>
      <c r="B47" s="67">
        <v>10102</v>
      </c>
      <c r="C47" s="52">
        <v>9.8000000000000004E-2</v>
      </c>
      <c r="D47" s="56" t="s">
        <v>98</v>
      </c>
      <c r="E47" s="52">
        <f t="shared" si="6"/>
        <v>6.1250000000000006E-2</v>
      </c>
      <c r="F47" s="56">
        <f t="shared" si="9"/>
        <v>152</v>
      </c>
      <c r="G47" s="56">
        <v>71940.62</v>
      </c>
      <c r="H47" s="56">
        <v>6264261.5099999998</v>
      </c>
      <c r="I47" s="56">
        <v>180</v>
      </c>
      <c r="J47" s="58">
        <v>43586</v>
      </c>
      <c r="K47" s="58">
        <v>43647</v>
      </c>
      <c r="L47" s="56">
        <v>6649550.25</v>
      </c>
      <c r="M47" s="66" t="s">
        <v>67</v>
      </c>
      <c r="N47" s="66" t="s">
        <v>77</v>
      </c>
      <c r="O47" s="56">
        <v>7684431</v>
      </c>
      <c r="P47" s="56">
        <v>6018051</v>
      </c>
      <c r="Q47" s="68">
        <f t="shared" si="7"/>
        <v>0.75394774098932249</v>
      </c>
      <c r="R47" s="69">
        <f t="shared" si="10"/>
        <v>0.78314855062137978</v>
      </c>
      <c r="S47" s="56">
        <v>0</v>
      </c>
      <c r="T47" s="56">
        <f t="shared" si="11"/>
        <v>28</v>
      </c>
      <c r="U47" s="56">
        <v>8308615</v>
      </c>
      <c r="V47" s="70" t="s">
        <v>124</v>
      </c>
      <c r="W47" s="56" t="b">
        <v>0</v>
      </c>
      <c r="X47" s="71">
        <f t="shared" si="12"/>
        <v>0.78314855062137978</v>
      </c>
      <c r="Y47" s="71">
        <f t="shared" si="13"/>
        <v>0.75394774098932249</v>
      </c>
      <c r="Z47" s="61">
        <f t="shared" si="14"/>
        <v>28</v>
      </c>
      <c r="AA47" s="58">
        <v>0</v>
      </c>
      <c r="AB47" s="61" t="str">
        <f t="shared" si="8"/>
        <v>No</v>
      </c>
      <c r="AG47" s="56" t="b">
        <v>1</v>
      </c>
    </row>
    <row r="48" spans="1:33" x14ac:dyDescent="0.3">
      <c r="A48" s="3">
        <v>1856</v>
      </c>
      <c r="B48" s="67">
        <v>9924</v>
      </c>
      <c r="C48" s="52">
        <v>0.105</v>
      </c>
      <c r="D48" s="56" t="s">
        <v>76</v>
      </c>
      <c r="E48" s="52">
        <f t="shared" si="6"/>
        <v>6.9999999999999993E-2</v>
      </c>
      <c r="F48" s="56">
        <f t="shared" si="9"/>
        <v>150</v>
      </c>
      <c r="G48" s="56">
        <v>27949.759999999998</v>
      </c>
      <c r="H48" s="56">
        <v>2280940.79</v>
      </c>
      <c r="I48" s="56">
        <v>180</v>
      </c>
      <c r="J48" s="58">
        <v>43313</v>
      </c>
      <c r="K48" s="58">
        <v>43586</v>
      </c>
      <c r="L48" s="56">
        <v>2404410</v>
      </c>
      <c r="M48" s="66" t="s">
        <v>53</v>
      </c>
      <c r="N48" s="66" t="s">
        <v>99</v>
      </c>
      <c r="O48" s="56">
        <v>3222746</v>
      </c>
      <c r="P48" s="56">
        <v>2404410</v>
      </c>
      <c r="Q48" s="68">
        <f t="shared" si="7"/>
        <v>0.7077631280901443</v>
      </c>
      <c r="R48" s="69">
        <f t="shared" si="10"/>
        <v>0.74607493113016043</v>
      </c>
      <c r="S48" s="56">
        <v>0</v>
      </c>
      <c r="T48" s="56">
        <f t="shared" si="11"/>
        <v>30</v>
      </c>
      <c r="U48" s="56">
        <v>3222746</v>
      </c>
      <c r="V48" s="70" t="s">
        <v>124</v>
      </c>
      <c r="W48" s="56" t="b">
        <v>0</v>
      </c>
      <c r="X48" s="71">
        <f t="shared" si="12"/>
        <v>0.74607493113016043</v>
      </c>
      <c r="Y48" s="71">
        <f t="shared" si="13"/>
        <v>0.7077631280901443</v>
      </c>
      <c r="Z48" s="61">
        <f t="shared" si="14"/>
        <v>30</v>
      </c>
      <c r="AA48" s="58">
        <v>0</v>
      </c>
      <c r="AB48" s="61" t="str">
        <f t="shared" si="8"/>
        <v>No</v>
      </c>
      <c r="AG48" s="56" t="b">
        <v>1</v>
      </c>
    </row>
    <row r="49" spans="1:33" x14ac:dyDescent="0.3">
      <c r="A49" s="3">
        <v>1864</v>
      </c>
      <c r="B49" s="67">
        <v>8865</v>
      </c>
      <c r="C49" s="52">
        <v>0.115</v>
      </c>
      <c r="D49" s="56" t="s">
        <v>76</v>
      </c>
      <c r="E49" s="52">
        <f t="shared" si="6"/>
        <v>0.08</v>
      </c>
      <c r="F49" s="56">
        <f t="shared" si="9"/>
        <v>144</v>
      </c>
      <c r="G49" s="56">
        <v>23142.31</v>
      </c>
      <c r="H49" s="56">
        <v>1809349</v>
      </c>
      <c r="I49" s="56">
        <v>180</v>
      </c>
      <c r="J49" s="58">
        <v>43344</v>
      </c>
      <c r="K49" s="58">
        <v>43405</v>
      </c>
      <c r="L49" s="56">
        <v>1870894.69</v>
      </c>
      <c r="M49" s="66" t="s">
        <v>53</v>
      </c>
      <c r="N49" s="66" t="s">
        <v>84</v>
      </c>
      <c r="O49" s="56">
        <v>2801569</v>
      </c>
      <c r="P49" s="56">
        <v>1956807</v>
      </c>
      <c r="Q49" s="68">
        <f t="shared" si="7"/>
        <v>0.64583417363627316</v>
      </c>
      <c r="R49" s="69">
        <f t="shared" si="10"/>
        <v>0.69846825118353317</v>
      </c>
      <c r="S49" s="56">
        <v>0</v>
      </c>
      <c r="T49" s="56">
        <f t="shared" si="11"/>
        <v>36</v>
      </c>
      <c r="U49" s="56">
        <v>2801569</v>
      </c>
      <c r="V49" s="70" t="s">
        <v>124</v>
      </c>
      <c r="W49" s="56" t="b">
        <v>0</v>
      </c>
      <c r="X49" s="71">
        <f t="shared" si="12"/>
        <v>0.69846825118353317</v>
      </c>
      <c r="Y49" s="71">
        <f t="shared" si="13"/>
        <v>0.64583417363627316</v>
      </c>
      <c r="Z49" s="61">
        <f t="shared" si="14"/>
        <v>36</v>
      </c>
      <c r="AA49" s="58">
        <v>0</v>
      </c>
      <c r="AB49" s="61" t="str">
        <f t="shared" si="8"/>
        <v>No</v>
      </c>
      <c r="AG49" s="56" t="b">
        <v>1</v>
      </c>
    </row>
    <row r="50" spans="1:33" x14ac:dyDescent="0.3">
      <c r="A50" s="3">
        <v>1868</v>
      </c>
      <c r="B50" s="67">
        <v>9680</v>
      </c>
      <c r="C50" s="52">
        <v>0.105</v>
      </c>
      <c r="D50" s="56" t="s">
        <v>76</v>
      </c>
      <c r="E50" s="52">
        <f t="shared" si="6"/>
        <v>6.9999999999999993E-2</v>
      </c>
      <c r="F50" s="56">
        <f t="shared" si="9"/>
        <v>144</v>
      </c>
      <c r="G50" s="56">
        <v>8025.02</v>
      </c>
      <c r="H50" s="56">
        <v>657234.47</v>
      </c>
      <c r="I50" s="56">
        <v>180</v>
      </c>
      <c r="J50" s="58">
        <v>43344</v>
      </c>
      <c r="K50" s="58">
        <v>43405</v>
      </c>
      <c r="L50" s="56">
        <v>713847</v>
      </c>
      <c r="M50" s="66" t="s">
        <v>53</v>
      </c>
      <c r="N50" s="66" t="s">
        <v>60</v>
      </c>
      <c r="O50" s="56">
        <v>1177368.74</v>
      </c>
      <c r="P50" s="56">
        <v>713847</v>
      </c>
      <c r="Q50" s="68">
        <f t="shared" si="7"/>
        <v>0.55822313576968252</v>
      </c>
      <c r="R50" s="69">
        <f t="shared" si="10"/>
        <v>0.60630707759405944</v>
      </c>
      <c r="S50" s="56">
        <v>0</v>
      </c>
      <c r="T50" s="56">
        <f t="shared" si="11"/>
        <v>36</v>
      </c>
      <c r="U50" s="56">
        <v>1177368.74</v>
      </c>
      <c r="V50" s="70" t="s">
        <v>124</v>
      </c>
      <c r="W50" s="56" t="b">
        <v>0</v>
      </c>
      <c r="X50" s="71">
        <f t="shared" si="12"/>
        <v>0.60630707759405944</v>
      </c>
      <c r="Y50" s="71">
        <f t="shared" si="13"/>
        <v>0.55822313576968252</v>
      </c>
      <c r="Z50" s="61">
        <f t="shared" si="14"/>
        <v>36</v>
      </c>
      <c r="AA50" s="58">
        <v>0</v>
      </c>
      <c r="AB50" s="61" t="str">
        <f t="shared" si="8"/>
        <v>No</v>
      </c>
      <c r="AG50" s="56" t="b">
        <v>1</v>
      </c>
    </row>
    <row r="51" spans="1:33" x14ac:dyDescent="0.3">
      <c r="A51" s="3">
        <v>1871</v>
      </c>
      <c r="B51" s="67">
        <v>9693</v>
      </c>
      <c r="C51" s="52">
        <v>0.115</v>
      </c>
      <c r="D51" s="56" t="s">
        <v>76</v>
      </c>
      <c r="E51" s="52">
        <f t="shared" si="6"/>
        <v>0.08</v>
      </c>
      <c r="F51" s="56">
        <f t="shared" si="9"/>
        <v>145</v>
      </c>
      <c r="G51" s="56">
        <v>6430.72</v>
      </c>
      <c r="H51" s="56">
        <v>504415.11</v>
      </c>
      <c r="I51" s="56">
        <v>180</v>
      </c>
      <c r="J51" s="58">
        <v>43344</v>
      </c>
      <c r="K51" s="58">
        <v>43435</v>
      </c>
      <c r="L51" s="56">
        <v>519391</v>
      </c>
      <c r="M51" s="66" t="s">
        <v>53</v>
      </c>
      <c r="N51" s="66" t="s">
        <v>100</v>
      </c>
      <c r="O51" s="56">
        <v>913717</v>
      </c>
      <c r="P51" s="56">
        <v>619391</v>
      </c>
      <c r="Q51" s="68">
        <f t="shared" si="7"/>
        <v>0.55204741730754703</v>
      </c>
      <c r="R51" s="69">
        <f t="shared" si="10"/>
        <v>0.67788056914777772</v>
      </c>
      <c r="S51" s="56">
        <v>0</v>
      </c>
      <c r="T51" s="56">
        <f t="shared" si="11"/>
        <v>35</v>
      </c>
      <c r="U51" s="56">
        <v>913717</v>
      </c>
      <c r="V51" s="70" t="s">
        <v>124</v>
      </c>
      <c r="W51" s="56" t="b">
        <v>0</v>
      </c>
      <c r="X51" s="71">
        <f t="shared" si="12"/>
        <v>0.67788056914777772</v>
      </c>
      <c r="Y51" s="71">
        <f t="shared" si="13"/>
        <v>0.55204741730754703</v>
      </c>
      <c r="Z51" s="61">
        <f t="shared" si="14"/>
        <v>35</v>
      </c>
      <c r="AA51" s="58">
        <v>0</v>
      </c>
      <c r="AB51" s="61" t="str">
        <f t="shared" si="8"/>
        <v>No</v>
      </c>
      <c r="AG51" s="56" t="b">
        <v>1</v>
      </c>
    </row>
    <row r="52" spans="1:33" x14ac:dyDescent="0.3">
      <c r="A52" s="3">
        <v>1872</v>
      </c>
      <c r="B52" s="67">
        <v>9807</v>
      </c>
      <c r="C52" s="52">
        <v>0.105</v>
      </c>
      <c r="D52" s="56" t="s">
        <v>76</v>
      </c>
      <c r="E52" s="52">
        <f t="shared" si="6"/>
        <v>6.9999999999999993E-2</v>
      </c>
      <c r="F52" s="56">
        <f t="shared" si="9"/>
        <v>146</v>
      </c>
      <c r="G52" s="56">
        <v>6198.76</v>
      </c>
      <c r="H52" s="56">
        <v>509442.97</v>
      </c>
      <c r="I52" s="56">
        <v>180</v>
      </c>
      <c r="J52" s="58">
        <v>43344</v>
      </c>
      <c r="K52" s="58">
        <v>43466</v>
      </c>
      <c r="L52" s="56">
        <v>538396</v>
      </c>
      <c r="M52" s="66" t="s">
        <v>53</v>
      </c>
      <c r="N52" s="66" t="s">
        <v>97</v>
      </c>
      <c r="O52" s="56">
        <v>973821</v>
      </c>
      <c r="P52" s="56">
        <v>632182</v>
      </c>
      <c r="Q52" s="68">
        <f t="shared" si="7"/>
        <v>0.52313820507054165</v>
      </c>
      <c r="R52" s="69">
        <f t="shared" si="10"/>
        <v>0.64917679943233919</v>
      </c>
      <c r="S52" s="56">
        <v>0</v>
      </c>
      <c r="T52" s="56">
        <f t="shared" si="11"/>
        <v>34</v>
      </c>
      <c r="U52" s="56">
        <v>973821</v>
      </c>
      <c r="V52" s="70" t="s">
        <v>124</v>
      </c>
      <c r="W52" s="56" t="b">
        <v>0</v>
      </c>
      <c r="X52" s="71">
        <f t="shared" si="12"/>
        <v>0.64917679943233919</v>
      </c>
      <c r="Y52" s="71">
        <f t="shared" si="13"/>
        <v>0.52313820507054165</v>
      </c>
      <c r="Z52" s="61">
        <f t="shared" si="14"/>
        <v>34</v>
      </c>
      <c r="AA52" s="58">
        <v>0</v>
      </c>
      <c r="AB52" s="61" t="str">
        <f t="shared" si="8"/>
        <v>No</v>
      </c>
      <c r="AG52" s="56" t="b">
        <v>1</v>
      </c>
    </row>
    <row r="53" spans="1:33" x14ac:dyDescent="0.3">
      <c r="A53" s="3">
        <v>1876</v>
      </c>
      <c r="B53" s="67">
        <v>9929</v>
      </c>
      <c r="C53" s="52">
        <v>0.1</v>
      </c>
      <c r="D53" s="56" t="s">
        <v>76</v>
      </c>
      <c r="E53" s="52">
        <f t="shared" si="6"/>
        <v>6.5000000000000002E-2</v>
      </c>
      <c r="F53" s="56">
        <f t="shared" si="9"/>
        <v>156</v>
      </c>
      <c r="G53" s="56">
        <v>135022.16</v>
      </c>
      <c r="H53" s="56">
        <v>11363207.73</v>
      </c>
      <c r="I53" s="56">
        <v>180</v>
      </c>
      <c r="J53" s="58">
        <v>43374</v>
      </c>
      <c r="K53" s="58">
        <v>43770</v>
      </c>
      <c r="L53" s="56">
        <v>10971825.5</v>
      </c>
      <c r="M53" s="66" t="s">
        <v>56</v>
      </c>
      <c r="N53" s="66" t="s">
        <v>101</v>
      </c>
      <c r="O53" s="56">
        <v>16479309</v>
      </c>
      <c r="P53" s="56">
        <v>9613633</v>
      </c>
      <c r="Q53" s="68">
        <f t="shared" si="7"/>
        <v>0.66277851470334692</v>
      </c>
      <c r="R53" s="69">
        <f t="shared" si="10"/>
        <v>0.58337597771848326</v>
      </c>
      <c r="S53" s="56">
        <v>0</v>
      </c>
      <c r="T53" s="56">
        <f t="shared" si="11"/>
        <v>24</v>
      </c>
      <c r="U53" s="56">
        <v>17144804</v>
      </c>
      <c r="V53" s="70" t="s">
        <v>124</v>
      </c>
      <c r="W53" s="56" t="b">
        <v>0</v>
      </c>
      <c r="X53" s="71">
        <f t="shared" si="12"/>
        <v>0.58337597771848326</v>
      </c>
      <c r="Y53" s="71">
        <f t="shared" si="13"/>
        <v>0.66277851470334692</v>
      </c>
      <c r="Z53" s="61">
        <f t="shared" si="14"/>
        <v>24</v>
      </c>
      <c r="AA53" s="58">
        <v>44074</v>
      </c>
      <c r="AB53" s="61" t="str">
        <f t="shared" si="8"/>
        <v>No</v>
      </c>
      <c r="AG53" s="56" t="b">
        <v>1</v>
      </c>
    </row>
    <row r="54" spans="1:33" x14ac:dyDescent="0.3">
      <c r="A54" s="3">
        <v>1883</v>
      </c>
      <c r="B54" s="67">
        <v>9925</v>
      </c>
      <c r="C54" s="52">
        <v>0.105</v>
      </c>
      <c r="D54" s="56" t="s">
        <v>76</v>
      </c>
      <c r="E54" s="52">
        <f t="shared" si="6"/>
        <v>6.9999999999999993E-2</v>
      </c>
      <c r="F54" s="56">
        <f t="shared" si="9"/>
        <v>150</v>
      </c>
      <c r="G54" s="56">
        <v>16076.5</v>
      </c>
      <c r="H54" s="56">
        <v>1292001.42</v>
      </c>
      <c r="I54" s="56">
        <v>180</v>
      </c>
      <c r="J54" s="58">
        <v>43405</v>
      </c>
      <c r="K54" s="58">
        <v>43586</v>
      </c>
      <c r="L54" s="56">
        <v>1367967</v>
      </c>
      <c r="M54" s="66" t="s">
        <v>53</v>
      </c>
      <c r="N54" s="66" t="s">
        <v>102</v>
      </c>
      <c r="O54" s="56">
        <v>2620570</v>
      </c>
      <c r="P54" s="56">
        <v>1472423</v>
      </c>
      <c r="Q54" s="68">
        <f t="shared" si="7"/>
        <v>0.4930230522367271</v>
      </c>
      <c r="R54" s="69">
        <f t="shared" si="10"/>
        <v>0.56187127228045808</v>
      </c>
      <c r="S54" s="56">
        <v>0</v>
      </c>
      <c r="T54" s="56">
        <f t="shared" si="11"/>
        <v>30</v>
      </c>
      <c r="U54" s="56">
        <v>2620570</v>
      </c>
      <c r="V54" s="70" t="s">
        <v>124</v>
      </c>
      <c r="W54" s="56" t="b">
        <v>0</v>
      </c>
      <c r="X54" s="71">
        <f t="shared" si="12"/>
        <v>0.56187127228045808</v>
      </c>
      <c r="Y54" s="71">
        <f t="shared" si="13"/>
        <v>0.4930230522367271</v>
      </c>
      <c r="Z54" s="61">
        <f t="shared" si="14"/>
        <v>30</v>
      </c>
      <c r="AA54" s="58">
        <v>0</v>
      </c>
      <c r="AB54" s="61" t="str">
        <f t="shared" si="8"/>
        <v>No</v>
      </c>
      <c r="AG54" s="56" t="b">
        <v>1</v>
      </c>
    </row>
    <row r="55" spans="1:33" x14ac:dyDescent="0.3">
      <c r="A55" s="72">
        <v>1995</v>
      </c>
      <c r="B55" s="67">
        <v>10211</v>
      </c>
      <c r="C55" s="52">
        <v>0.125</v>
      </c>
      <c r="D55" s="56" t="s">
        <v>76</v>
      </c>
      <c r="E55" s="52">
        <f t="shared" si="6"/>
        <v>0.09</v>
      </c>
      <c r="F55" s="56">
        <f t="shared" si="9"/>
        <v>162</v>
      </c>
      <c r="G55" s="56">
        <v>43940.19</v>
      </c>
      <c r="H55" s="56">
        <v>3396097.52</v>
      </c>
      <c r="I55" s="56">
        <v>180</v>
      </c>
      <c r="J55" s="58">
        <v>43709</v>
      </c>
      <c r="K55" s="58">
        <v>43952</v>
      </c>
      <c r="L55" s="56">
        <v>3435829</v>
      </c>
      <c r="M55" s="66" t="s">
        <v>54</v>
      </c>
      <c r="N55" s="66" t="s">
        <v>54</v>
      </c>
      <c r="O55" s="56">
        <v>7827907</v>
      </c>
      <c r="P55" s="56">
        <v>3676288</v>
      </c>
      <c r="Q55" s="68">
        <f t="shared" si="7"/>
        <v>0.43384489877051424</v>
      </c>
      <c r="R55" s="69">
        <f t="shared" si="10"/>
        <v>0.4696386914152148</v>
      </c>
      <c r="S55" s="56">
        <v>0</v>
      </c>
      <c r="T55" s="56">
        <f t="shared" si="11"/>
        <v>18</v>
      </c>
      <c r="U55" s="56">
        <v>7827907</v>
      </c>
      <c r="V55" s="70" t="s">
        <v>124</v>
      </c>
      <c r="W55" s="56" t="b">
        <v>0</v>
      </c>
      <c r="X55" s="71">
        <f t="shared" si="12"/>
        <v>0.4696386914152148</v>
      </c>
      <c r="Y55" s="71">
        <f t="shared" si="13"/>
        <v>0.43384489877051424</v>
      </c>
      <c r="Z55" s="61">
        <f t="shared" si="14"/>
        <v>18</v>
      </c>
      <c r="AA55" s="58">
        <v>44135</v>
      </c>
      <c r="AB55" s="61" t="str">
        <f t="shared" si="8"/>
        <v>No</v>
      </c>
      <c r="AG55" s="56" t="b">
        <v>1</v>
      </c>
    </row>
    <row r="56" spans="1:33" x14ac:dyDescent="0.3">
      <c r="A56" s="3">
        <v>1888</v>
      </c>
      <c r="B56" s="67">
        <v>9610</v>
      </c>
      <c r="C56" s="52">
        <v>0.115</v>
      </c>
      <c r="D56" s="56" t="s">
        <v>76</v>
      </c>
      <c r="E56" s="52">
        <f t="shared" si="6"/>
        <v>0.08</v>
      </c>
      <c r="F56" s="56">
        <f t="shared" si="9"/>
        <v>147</v>
      </c>
      <c r="G56" s="56">
        <v>37292.269999999997</v>
      </c>
      <c r="H56" s="56">
        <v>2934553.35</v>
      </c>
      <c r="I56" s="56">
        <v>180</v>
      </c>
      <c r="J56" s="58">
        <v>43405</v>
      </c>
      <c r="K56" s="58">
        <v>43497</v>
      </c>
      <c r="L56" s="56">
        <v>3022428.8</v>
      </c>
      <c r="M56" s="66" t="s">
        <v>70</v>
      </c>
      <c r="N56" s="66" t="s">
        <v>103</v>
      </c>
      <c r="O56" s="56">
        <v>4175111</v>
      </c>
      <c r="P56" s="56">
        <v>2759121</v>
      </c>
      <c r="Q56" s="68">
        <f t="shared" si="7"/>
        <v>0.61900156830567088</v>
      </c>
      <c r="R56" s="69">
        <f t="shared" si="10"/>
        <v>0.66084973549206238</v>
      </c>
      <c r="S56" s="56">
        <v>0</v>
      </c>
      <c r="T56" s="56">
        <f t="shared" si="11"/>
        <v>33</v>
      </c>
      <c r="U56" s="56">
        <v>4740785</v>
      </c>
      <c r="V56" s="70" t="s">
        <v>124</v>
      </c>
      <c r="W56" s="56" t="b">
        <v>0</v>
      </c>
      <c r="X56" s="71">
        <f t="shared" si="12"/>
        <v>0.66084973549206238</v>
      </c>
      <c r="Y56" s="71">
        <f t="shared" si="13"/>
        <v>0.61900156830567088</v>
      </c>
      <c r="Z56" s="61">
        <f t="shared" si="14"/>
        <v>33</v>
      </c>
      <c r="AA56" s="58">
        <v>0</v>
      </c>
      <c r="AB56" s="61" t="str">
        <f t="shared" si="8"/>
        <v>No</v>
      </c>
      <c r="AG56" s="56" t="b">
        <v>1</v>
      </c>
    </row>
    <row r="57" spans="1:33" x14ac:dyDescent="0.3">
      <c r="A57" s="3">
        <v>1898</v>
      </c>
      <c r="B57" s="67">
        <v>9929</v>
      </c>
      <c r="C57" s="52">
        <v>0.1</v>
      </c>
      <c r="D57" s="56" t="s">
        <v>76</v>
      </c>
      <c r="E57" s="52">
        <f t="shared" si="6"/>
        <v>6.5000000000000002E-2</v>
      </c>
      <c r="F57" s="56">
        <f t="shared" si="9"/>
        <v>149</v>
      </c>
      <c r="G57" s="56">
        <v>76407.990000000005</v>
      </c>
      <c r="H57" s="56">
        <v>6476314.7999999998</v>
      </c>
      <c r="I57" s="56">
        <v>180</v>
      </c>
      <c r="J57" s="58">
        <v>43435</v>
      </c>
      <c r="K57" s="58">
        <v>43556</v>
      </c>
      <c r="L57" s="56">
        <v>6613050</v>
      </c>
      <c r="M57" s="66" t="s">
        <v>53</v>
      </c>
      <c r="N57" s="66" t="s">
        <v>56</v>
      </c>
      <c r="O57" s="56">
        <v>10808627</v>
      </c>
      <c r="P57" s="56">
        <v>6232774</v>
      </c>
      <c r="Q57" s="68">
        <f t="shared" si="7"/>
        <v>0.59918015488923804</v>
      </c>
      <c r="R57" s="69">
        <f t="shared" si="10"/>
        <v>0.57664807935364959</v>
      </c>
      <c r="S57" s="56">
        <v>0</v>
      </c>
      <c r="T57" s="56">
        <f t="shared" si="11"/>
        <v>31</v>
      </c>
      <c r="U57" s="56">
        <v>10808627</v>
      </c>
      <c r="V57" s="70" t="s">
        <v>124</v>
      </c>
      <c r="W57" s="56" t="b">
        <v>0</v>
      </c>
      <c r="X57" s="71">
        <f t="shared" si="12"/>
        <v>0.57664807935364959</v>
      </c>
      <c r="Y57" s="71">
        <f t="shared" si="13"/>
        <v>0.59918015488923804</v>
      </c>
      <c r="Z57" s="61">
        <f t="shared" si="14"/>
        <v>31</v>
      </c>
      <c r="AA57" s="58">
        <v>44074</v>
      </c>
      <c r="AB57" s="61" t="str">
        <f t="shared" si="8"/>
        <v>No</v>
      </c>
      <c r="AG57" s="56" t="b">
        <v>1</v>
      </c>
    </row>
    <row r="58" spans="1:33" x14ac:dyDescent="0.3">
      <c r="A58" s="3">
        <v>1919</v>
      </c>
      <c r="B58" s="67">
        <v>9693</v>
      </c>
      <c r="C58" s="52">
        <v>0.105</v>
      </c>
      <c r="D58" s="56" t="s">
        <v>76</v>
      </c>
      <c r="E58" s="52">
        <f t="shared" si="6"/>
        <v>6.9999999999999993E-2</v>
      </c>
      <c r="F58" s="56">
        <f t="shared" si="9"/>
        <v>149</v>
      </c>
      <c r="G58" s="56">
        <v>13308.59</v>
      </c>
      <c r="H58" s="56">
        <v>1108696.08</v>
      </c>
      <c r="I58" s="56">
        <v>180</v>
      </c>
      <c r="J58" s="58">
        <v>43466</v>
      </c>
      <c r="K58" s="58">
        <v>43556</v>
      </c>
      <c r="L58" s="56">
        <v>1139919</v>
      </c>
      <c r="M58" s="66" t="s">
        <v>53</v>
      </c>
      <c r="N58" s="66" t="s">
        <v>60</v>
      </c>
      <c r="O58" s="56">
        <v>1561793</v>
      </c>
      <c r="P58" s="56">
        <v>1139919</v>
      </c>
      <c r="Q58" s="68">
        <f t="shared" si="7"/>
        <v>0.70988670073434834</v>
      </c>
      <c r="R58" s="69">
        <f t="shared" si="10"/>
        <v>0.72987841538539355</v>
      </c>
      <c r="S58" s="56">
        <v>0</v>
      </c>
      <c r="T58" s="56">
        <f t="shared" si="11"/>
        <v>31</v>
      </c>
      <c r="U58" s="56">
        <v>1561793</v>
      </c>
      <c r="V58" s="70" t="s">
        <v>124</v>
      </c>
      <c r="W58" s="56" t="b">
        <v>0</v>
      </c>
      <c r="X58" s="71">
        <f t="shared" si="12"/>
        <v>0.72987841538539355</v>
      </c>
      <c r="Y58" s="71">
        <f t="shared" si="13"/>
        <v>0.70988670073434834</v>
      </c>
      <c r="Z58" s="61">
        <f t="shared" si="14"/>
        <v>31</v>
      </c>
      <c r="AA58" s="58">
        <v>0</v>
      </c>
      <c r="AB58" s="61" t="str">
        <f t="shared" si="8"/>
        <v>No</v>
      </c>
      <c r="AG58" s="56" t="b">
        <v>1</v>
      </c>
    </row>
    <row r="59" spans="1:33" x14ac:dyDescent="0.3">
      <c r="A59" s="3">
        <v>1923</v>
      </c>
      <c r="B59" s="67">
        <v>8442</v>
      </c>
      <c r="C59" s="52">
        <v>0.105</v>
      </c>
      <c r="D59" s="56" t="s">
        <v>76</v>
      </c>
      <c r="E59" s="52">
        <f t="shared" si="6"/>
        <v>6.9999999999999993E-2</v>
      </c>
      <c r="F59" s="56">
        <f t="shared" si="9"/>
        <v>149</v>
      </c>
      <c r="G59" s="56">
        <v>57136.66</v>
      </c>
      <c r="H59" s="56">
        <v>4758893.41</v>
      </c>
      <c r="I59" s="56">
        <v>180</v>
      </c>
      <c r="J59" s="58">
        <v>43497</v>
      </c>
      <c r="K59" s="58">
        <v>43556</v>
      </c>
      <c r="L59" s="56">
        <v>5141125</v>
      </c>
      <c r="M59" s="66" t="s">
        <v>53</v>
      </c>
      <c r="N59" s="66" t="s">
        <v>104</v>
      </c>
      <c r="O59" s="56">
        <v>9784171.3499999996</v>
      </c>
      <c r="P59" s="56">
        <v>5117793</v>
      </c>
      <c r="Q59" s="68">
        <f t="shared" si="7"/>
        <v>0.48638696520784053</v>
      </c>
      <c r="R59" s="69">
        <f t="shared" si="10"/>
        <v>0.52306861939820792</v>
      </c>
      <c r="S59" s="56">
        <v>0</v>
      </c>
      <c r="T59" s="56">
        <f t="shared" si="11"/>
        <v>31</v>
      </c>
      <c r="U59" s="56">
        <v>9784171.3499999996</v>
      </c>
      <c r="V59" s="70" t="s">
        <v>124</v>
      </c>
      <c r="W59" s="56" t="b">
        <v>0</v>
      </c>
      <c r="X59" s="71">
        <f t="shared" si="12"/>
        <v>0.52306861939820792</v>
      </c>
      <c r="Y59" s="71">
        <f t="shared" si="13"/>
        <v>0.48638696520784053</v>
      </c>
      <c r="Z59" s="61">
        <f t="shared" si="14"/>
        <v>31</v>
      </c>
      <c r="AA59" s="58">
        <v>0</v>
      </c>
      <c r="AB59" s="61" t="str">
        <f t="shared" si="8"/>
        <v>No</v>
      </c>
      <c r="AG59" s="56" t="b">
        <v>1</v>
      </c>
    </row>
    <row r="60" spans="1:33" x14ac:dyDescent="0.3">
      <c r="A60" s="3">
        <v>1928</v>
      </c>
      <c r="B60" s="67">
        <v>9833</v>
      </c>
      <c r="C60" s="52">
        <v>0.105</v>
      </c>
      <c r="D60" s="56" t="s">
        <v>76</v>
      </c>
      <c r="E60" s="52">
        <f t="shared" si="6"/>
        <v>6.9999999999999993E-2</v>
      </c>
      <c r="F60" s="56">
        <f t="shared" si="9"/>
        <v>150</v>
      </c>
      <c r="G60" s="56">
        <v>15254.63</v>
      </c>
      <c r="H60" s="56">
        <v>1275078.52</v>
      </c>
      <c r="I60" s="56">
        <v>180</v>
      </c>
      <c r="J60" s="58">
        <v>43497</v>
      </c>
      <c r="K60" s="58">
        <v>43586</v>
      </c>
      <c r="L60" s="56">
        <v>1359150</v>
      </c>
      <c r="M60" s="66" t="s">
        <v>53</v>
      </c>
      <c r="N60" s="66" t="s">
        <v>53</v>
      </c>
      <c r="O60" s="56">
        <v>2471538</v>
      </c>
      <c r="P60" s="56">
        <v>1359150</v>
      </c>
      <c r="Q60" s="68">
        <f t="shared" si="7"/>
        <v>0.51590488189944883</v>
      </c>
      <c r="R60" s="69">
        <f t="shared" si="10"/>
        <v>0.54992073761358307</v>
      </c>
      <c r="S60" s="56">
        <v>0</v>
      </c>
      <c r="T60" s="56">
        <f t="shared" si="11"/>
        <v>30</v>
      </c>
      <c r="U60" s="56">
        <v>2471538</v>
      </c>
      <c r="V60" s="70" t="s">
        <v>124</v>
      </c>
      <c r="W60" s="56" t="b">
        <v>0</v>
      </c>
      <c r="X60" s="71">
        <f t="shared" si="12"/>
        <v>0.54992073761358307</v>
      </c>
      <c r="Y60" s="71">
        <f t="shared" si="13"/>
        <v>0.51590488189944883</v>
      </c>
      <c r="Z60" s="61">
        <f t="shared" si="14"/>
        <v>30</v>
      </c>
      <c r="AA60" s="58">
        <v>0</v>
      </c>
      <c r="AB60" s="61" t="str">
        <f t="shared" si="8"/>
        <v>No</v>
      </c>
      <c r="AG60" s="56" t="b">
        <v>1</v>
      </c>
    </row>
    <row r="61" spans="1:33" x14ac:dyDescent="0.3">
      <c r="A61" s="3">
        <v>1932</v>
      </c>
      <c r="B61" s="67">
        <v>10066</v>
      </c>
      <c r="C61" s="52">
        <v>0.115</v>
      </c>
      <c r="D61" s="56" t="s">
        <v>76</v>
      </c>
      <c r="E61" s="52">
        <f t="shared" si="6"/>
        <v>0.08</v>
      </c>
      <c r="F61" s="56">
        <f t="shared" si="9"/>
        <v>157</v>
      </c>
      <c r="G61" s="56">
        <v>13158.77</v>
      </c>
      <c r="H61" s="56">
        <v>1048440.3</v>
      </c>
      <c r="I61" s="56">
        <v>180</v>
      </c>
      <c r="J61" s="58">
        <v>43525</v>
      </c>
      <c r="K61" s="58">
        <v>43800</v>
      </c>
      <c r="L61" s="56">
        <v>1153001</v>
      </c>
      <c r="M61" s="66" t="s">
        <v>53</v>
      </c>
      <c r="N61" s="66" t="s">
        <v>105</v>
      </c>
      <c r="O61" s="56">
        <v>2118579</v>
      </c>
      <c r="P61" s="56">
        <v>1285001</v>
      </c>
      <c r="Q61" s="68">
        <f t="shared" si="7"/>
        <v>0.49487902032447223</v>
      </c>
      <c r="R61" s="69">
        <f t="shared" si="10"/>
        <v>0.60653910002884004</v>
      </c>
      <c r="S61" s="56">
        <v>0</v>
      </c>
      <c r="T61" s="56">
        <f t="shared" si="11"/>
        <v>23</v>
      </c>
      <c r="U61" s="56">
        <v>2118579</v>
      </c>
      <c r="V61" s="70" t="s">
        <v>124</v>
      </c>
      <c r="W61" s="56" t="b">
        <v>0</v>
      </c>
      <c r="X61" s="71">
        <f t="shared" si="12"/>
        <v>0.60653910002884004</v>
      </c>
      <c r="Y61" s="71">
        <f t="shared" si="13"/>
        <v>0.49487902032447223</v>
      </c>
      <c r="Z61" s="61">
        <f t="shared" si="14"/>
        <v>23</v>
      </c>
      <c r="AA61" s="58">
        <v>44135</v>
      </c>
      <c r="AB61" s="61" t="str">
        <f t="shared" si="8"/>
        <v>No</v>
      </c>
      <c r="AG61" s="56" t="b">
        <v>1</v>
      </c>
    </row>
    <row r="62" spans="1:33" x14ac:dyDescent="0.3">
      <c r="A62" s="3">
        <v>1933</v>
      </c>
      <c r="B62" s="67">
        <v>10037</v>
      </c>
      <c r="C62" s="52">
        <v>0.105</v>
      </c>
      <c r="D62" s="56" t="s">
        <v>98</v>
      </c>
      <c r="E62" s="52">
        <f t="shared" si="6"/>
        <v>6.8250000000000005E-2</v>
      </c>
      <c r="F62" s="56">
        <f t="shared" si="9"/>
        <v>167</v>
      </c>
      <c r="G62" s="56">
        <v>76822.740000000005</v>
      </c>
      <c r="H62" s="56">
        <v>6420792.21</v>
      </c>
      <c r="I62" s="56">
        <v>180</v>
      </c>
      <c r="J62" s="58">
        <v>43525</v>
      </c>
      <c r="K62" s="58">
        <v>44105</v>
      </c>
      <c r="L62" s="56">
        <v>4967545.6499999994</v>
      </c>
      <c r="M62" s="66" t="s">
        <v>67</v>
      </c>
      <c r="N62" s="66" t="s">
        <v>106</v>
      </c>
      <c r="O62" s="56">
        <v>10073572</v>
      </c>
      <c r="P62" s="56">
        <v>5452592</v>
      </c>
      <c r="Q62" s="68">
        <f t="shared" si="7"/>
        <v>0.65176232348759044</v>
      </c>
      <c r="R62" s="69">
        <f t="shared" si="10"/>
        <v>0.54127691746284234</v>
      </c>
      <c r="S62" s="56">
        <v>0</v>
      </c>
      <c r="T62" s="56">
        <f t="shared" si="11"/>
        <v>13</v>
      </c>
      <c r="U62" s="56">
        <v>9851432</v>
      </c>
      <c r="V62" s="70" t="s">
        <v>124</v>
      </c>
      <c r="W62" s="56" t="b">
        <v>0</v>
      </c>
      <c r="X62" s="71">
        <f t="shared" si="12"/>
        <v>0.54127691746284234</v>
      </c>
      <c r="Y62" s="71">
        <f t="shared" si="13"/>
        <v>0.65176232348759044</v>
      </c>
      <c r="Z62" s="61">
        <f t="shared" si="14"/>
        <v>13</v>
      </c>
      <c r="AA62" s="58">
        <v>0</v>
      </c>
      <c r="AB62" s="61" t="str">
        <f t="shared" si="8"/>
        <v>No</v>
      </c>
      <c r="AG62" s="56" t="b">
        <v>1</v>
      </c>
    </row>
    <row r="63" spans="1:33" x14ac:dyDescent="0.3">
      <c r="A63" s="3">
        <v>1935</v>
      </c>
      <c r="B63" s="67">
        <v>10093</v>
      </c>
      <c r="C63" s="52">
        <v>0.106</v>
      </c>
      <c r="D63" s="56" t="s">
        <v>76</v>
      </c>
      <c r="E63" s="52">
        <f t="shared" si="6"/>
        <v>7.0999999999999994E-2</v>
      </c>
      <c r="F63" s="56">
        <f t="shared" si="9"/>
        <v>150</v>
      </c>
      <c r="G63" s="56">
        <v>20466.84</v>
      </c>
      <c r="H63" s="56">
        <v>1702333.8</v>
      </c>
      <c r="I63" s="56">
        <v>180</v>
      </c>
      <c r="J63" s="58">
        <v>43525</v>
      </c>
      <c r="K63" s="58">
        <v>43586</v>
      </c>
      <c r="L63" s="56">
        <v>1779312.5</v>
      </c>
      <c r="M63" s="66" t="s">
        <v>71</v>
      </c>
      <c r="N63" s="66" t="s">
        <v>107</v>
      </c>
      <c r="O63" s="56">
        <v>2857172</v>
      </c>
      <c r="P63" s="56">
        <v>2234441</v>
      </c>
      <c r="Q63" s="68">
        <f t="shared" si="7"/>
        <v>0.59581075273032214</v>
      </c>
      <c r="R63" s="69">
        <f t="shared" si="10"/>
        <v>0.7820463731269941</v>
      </c>
      <c r="S63" s="56">
        <v>0</v>
      </c>
      <c r="T63" s="56">
        <f t="shared" si="11"/>
        <v>30</v>
      </c>
      <c r="U63" s="56">
        <v>2857172</v>
      </c>
      <c r="V63" s="70" t="s">
        <v>124</v>
      </c>
      <c r="W63" s="56" t="b">
        <v>0</v>
      </c>
      <c r="X63" s="71">
        <f t="shared" si="12"/>
        <v>0.7820463731269941</v>
      </c>
      <c r="Y63" s="71">
        <f t="shared" si="13"/>
        <v>0.59581075273032214</v>
      </c>
      <c r="Z63" s="61">
        <f t="shared" si="14"/>
        <v>30</v>
      </c>
      <c r="AA63" s="58">
        <v>43921</v>
      </c>
      <c r="AB63" s="61" t="str">
        <f t="shared" si="8"/>
        <v>No</v>
      </c>
      <c r="AG63" s="56" t="b">
        <v>1</v>
      </c>
    </row>
    <row r="64" spans="1:33" x14ac:dyDescent="0.3">
      <c r="A64" s="3">
        <v>1940</v>
      </c>
      <c r="B64" s="67">
        <v>9274</v>
      </c>
      <c r="C64" s="52">
        <v>0.105</v>
      </c>
      <c r="D64" s="56" t="s">
        <v>98</v>
      </c>
      <c r="E64" s="52">
        <f t="shared" si="6"/>
        <v>6.8250000000000005E-2</v>
      </c>
      <c r="F64" s="56">
        <f t="shared" si="9"/>
        <v>166</v>
      </c>
      <c r="G64" s="56">
        <v>40961.339999999997</v>
      </c>
      <c r="H64" s="56">
        <v>3434671.15</v>
      </c>
      <c r="I64" s="56">
        <v>180</v>
      </c>
      <c r="J64" s="58">
        <v>43556</v>
      </c>
      <c r="K64" s="58">
        <v>44075</v>
      </c>
      <c r="L64" s="56">
        <v>3289719</v>
      </c>
      <c r="M64" s="66" t="s">
        <v>67</v>
      </c>
      <c r="N64" s="66" t="s">
        <v>77</v>
      </c>
      <c r="O64" s="56">
        <v>5858173</v>
      </c>
      <c r="P64" s="56">
        <v>3289719</v>
      </c>
      <c r="Q64" s="68">
        <f t="shared" si="7"/>
        <v>0.67850757304729636</v>
      </c>
      <c r="R64" s="69">
        <f t="shared" si="10"/>
        <v>0.56156057528516146</v>
      </c>
      <c r="S64" s="56">
        <v>0</v>
      </c>
      <c r="T64" s="56">
        <f t="shared" si="11"/>
        <v>14</v>
      </c>
      <c r="U64" s="56">
        <v>5062097</v>
      </c>
      <c r="V64" s="70" t="s">
        <v>124</v>
      </c>
      <c r="W64" s="56" t="b">
        <v>0</v>
      </c>
      <c r="X64" s="71">
        <f t="shared" si="12"/>
        <v>0.56156057528516146</v>
      </c>
      <c r="Y64" s="71">
        <f t="shared" si="13"/>
        <v>0.67850757304729636</v>
      </c>
      <c r="Z64" s="61">
        <f t="shared" si="14"/>
        <v>14</v>
      </c>
      <c r="AA64" s="58">
        <v>0</v>
      </c>
      <c r="AB64" s="61" t="str">
        <f t="shared" si="8"/>
        <v>No</v>
      </c>
      <c r="AG64" s="56" t="b">
        <v>1</v>
      </c>
    </row>
    <row r="65" spans="1:33" x14ac:dyDescent="0.3">
      <c r="A65" s="3">
        <v>1946</v>
      </c>
      <c r="B65" s="67">
        <v>9807</v>
      </c>
      <c r="C65" s="52">
        <v>0.11</v>
      </c>
      <c r="D65" s="56" t="s">
        <v>76</v>
      </c>
      <c r="E65" s="52">
        <f t="shared" si="6"/>
        <v>7.4999999999999997E-2</v>
      </c>
      <c r="F65" s="56">
        <f t="shared" si="9"/>
        <v>170</v>
      </c>
      <c r="G65" s="56">
        <v>29918.1</v>
      </c>
      <c r="H65" s="56">
        <v>2425563.13</v>
      </c>
      <c r="I65" s="56">
        <v>180</v>
      </c>
      <c r="J65" s="58">
        <v>43556</v>
      </c>
      <c r="K65" s="58">
        <v>44197</v>
      </c>
      <c r="L65" s="56">
        <v>2254908.6</v>
      </c>
      <c r="M65" s="66" t="s">
        <v>53</v>
      </c>
      <c r="N65" s="66" t="s">
        <v>77</v>
      </c>
      <c r="O65" s="56">
        <v>5838223</v>
      </c>
      <c r="P65" s="56">
        <v>3307810</v>
      </c>
      <c r="Q65" s="68">
        <f t="shared" si="7"/>
        <v>0.67737171812798369</v>
      </c>
      <c r="R65" s="69">
        <f t="shared" si="10"/>
        <v>0.56657822080451536</v>
      </c>
      <c r="S65" s="56">
        <v>0</v>
      </c>
      <c r="T65" s="56">
        <f t="shared" si="11"/>
        <v>10</v>
      </c>
      <c r="U65" s="56">
        <v>3580845</v>
      </c>
      <c r="V65" s="70" t="s">
        <v>124</v>
      </c>
      <c r="W65" s="56" t="b">
        <v>0</v>
      </c>
      <c r="X65" s="71">
        <f t="shared" si="12"/>
        <v>0.56657822080451536</v>
      </c>
      <c r="Y65" s="71">
        <f t="shared" si="13"/>
        <v>0.67737171812798369</v>
      </c>
      <c r="Z65" s="61">
        <f t="shared" si="14"/>
        <v>10</v>
      </c>
      <c r="AA65" s="58">
        <v>0</v>
      </c>
      <c r="AB65" s="61" t="str">
        <f t="shared" si="8"/>
        <v>No</v>
      </c>
      <c r="AG65" s="56" t="b">
        <v>1</v>
      </c>
    </row>
    <row r="66" spans="1:33" x14ac:dyDescent="0.3">
      <c r="A66" s="3">
        <v>1951</v>
      </c>
      <c r="B66" s="67">
        <v>8346</v>
      </c>
      <c r="C66" s="52">
        <v>0.11</v>
      </c>
      <c r="D66" s="56" t="s">
        <v>76</v>
      </c>
      <c r="E66" s="52">
        <f t="shared" si="6"/>
        <v>7.4999999999999997E-2</v>
      </c>
      <c r="F66" s="56">
        <f t="shared" si="9"/>
        <v>157</v>
      </c>
      <c r="G66" s="56">
        <v>129037.81</v>
      </c>
      <c r="H66" s="56">
        <v>10594236.140000001</v>
      </c>
      <c r="I66" s="56">
        <v>180</v>
      </c>
      <c r="J66" s="58">
        <v>43586</v>
      </c>
      <c r="K66" s="58">
        <v>43800</v>
      </c>
      <c r="L66" s="56">
        <v>10954667</v>
      </c>
      <c r="M66" s="66" t="s">
        <v>53</v>
      </c>
      <c r="N66" s="66" t="s">
        <v>80</v>
      </c>
      <c r="O66" s="56">
        <v>16667039</v>
      </c>
      <c r="P66" s="56">
        <v>11279508</v>
      </c>
      <c r="Q66" s="68">
        <f t="shared" si="7"/>
        <v>0.63563996820311042</v>
      </c>
      <c r="R66" s="69">
        <f t="shared" si="10"/>
        <v>0.67675536128522884</v>
      </c>
      <c r="S66" s="56">
        <v>0</v>
      </c>
      <c r="T66" s="56">
        <f t="shared" si="11"/>
        <v>23</v>
      </c>
      <c r="U66" s="56">
        <v>16667039</v>
      </c>
      <c r="V66" s="70" t="s">
        <v>124</v>
      </c>
      <c r="W66" s="56" t="b">
        <v>0</v>
      </c>
      <c r="X66" s="71">
        <f t="shared" si="12"/>
        <v>0.67675536128522884</v>
      </c>
      <c r="Y66" s="71">
        <f t="shared" si="13"/>
        <v>0.63563996820311042</v>
      </c>
      <c r="Z66" s="61">
        <f t="shared" si="14"/>
        <v>23</v>
      </c>
      <c r="AA66" s="58">
        <v>44104</v>
      </c>
      <c r="AB66" s="61" t="str">
        <f t="shared" si="8"/>
        <v>No</v>
      </c>
      <c r="AG66" s="56" t="b">
        <v>1</v>
      </c>
    </row>
    <row r="67" spans="1:33" x14ac:dyDescent="0.3">
      <c r="A67" s="3">
        <v>1952</v>
      </c>
      <c r="B67" s="67">
        <v>10143</v>
      </c>
      <c r="C67" s="52">
        <v>9.8000000000000004E-2</v>
      </c>
      <c r="D67" s="56" t="s">
        <v>76</v>
      </c>
      <c r="E67" s="52">
        <f t="shared" si="6"/>
        <v>6.3E-2</v>
      </c>
      <c r="F67" s="56">
        <f t="shared" ref="F67:F98" si="15">I67-T67</f>
        <v>152</v>
      </c>
      <c r="G67" s="56">
        <v>17751.98</v>
      </c>
      <c r="H67" s="56">
        <v>1545589.57</v>
      </c>
      <c r="I67" s="56">
        <v>180</v>
      </c>
      <c r="J67" s="58">
        <v>43586</v>
      </c>
      <c r="K67" s="58">
        <v>43647</v>
      </c>
      <c r="L67" s="56">
        <v>1664600</v>
      </c>
      <c r="M67" s="66" t="s">
        <v>71</v>
      </c>
      <c r="N67" s="66" t="s">
        <v>82</v>
      </c>
      <c r="O67" s="56">
        <v>2531447</v>
      </c>
      <c r="P67" s="56">
        <v>1664600</v>
      </c>
      <c r="Q67" s="68">
        <f t="shared" si="7"/>
        <v>0.61055576909174869</v>
      </c>
      <c r="R67" s="69">
        <f t="shared" ref="R67:R98" si="16">P67/O67</f>
        <v>0.65756857639128929</v>
      </c>
      <c r="S67" s="56">
        <v>0</v>
      </c>
      <c r="T67" s="56">
        <f t="shared" ref="T67:T98" si="17">+DATEDIF(EOMONTH($K67,-1),$Z$1+1,"M")</f>
        <v>28</v>
      </c>
      <c r="U67" s="56">
        <v>2531447</v>
      </c>
      <c r="V67" s="70" t="s">
        <v>124</v>
      </c>
      <c r="W67" s="56" t="b">
        <v>0</v>
      </c>
      <c r="X67" s="71">
        <f t="shared" ref="X67:X98" si="18">+P67/O67</f>
        <v>0.65756857639128929</v>
      </c>
      <c r="Y67" s="71">
        <f t="shared" ref="Y67:Y98" si="19">+H67/U67</f>
        <v>0.61055576909174869</v>
      </c>
      <c r="Z67" s="61">
        <f t="shared" ref="Z67:Z98" si="20">+DATEDIF(EOMONTH(K67,-1),$Z$1+1,"M")</f>
        <v>28</v>
      </c>
      <c r="AA67" s="58">
        <v>0</v>
      </c>
      <c r="AB67" s="61" t="str">
        <f t="shared" si="8"/>
        <v>No</v>
      </c>
      <c r="AG67" s="56" t="b">
        <v>1</v>
      </c>
    </row>
    <row r="68" spans="1:33" x14ac:dyDescent="0.3">
      <c r="A68" s="3">
        <v>1954</v>
      </c>
      <c r="B68" s="67">
        <v>8209</v>
      </c>
      <c r="C68" s="52">
        <v>0.1</v>
      </c>
      <c r="D68" s="56" t="s">
        <v>76</v>
      </c>
      <c r="E68" s="52">
        <f t="shared" ref="E68:E113" si="21">C68-IF(D68="Prime",7%-3.5%,3.675%)</f>
        <v>6.5000000000000002E-2</v>
      </c>
      <c r="F68" s="56">
        <f t="shared" si="15"/>
        <v>151</v>
      </c>
      <c r="G68" s="56">
        <v>62481.48</v>
      </c>
      <c r="H68" s="56">
        <v>5387072.5300000003</v>
      </c>
      <c r="I68" s="56">
        <v>180</v>
      </c>
      <c r="J68" s="58">
        <v>43586</v>
      </c>
      <c r="K68" s="58">
        <v>43617</v>
      </c>
      <c r="L68" s="56">
        <v>5728005.2199999997</v>
      </c>
      <c r="M68" s="66" t="s">
        <v>53</v>
      </c>
      <c r="N68" s="66" t="s">
        <v>77</v>
      </c>
      <c r="O68" s="56">
        <v>9971701.4199999999</v>
      </c>
      <c r="P68" s="56">
        <v>5734856</v>
      </c>
      <c r="Q68" s="68">
        <f t="shared" ref="Q68:Q113" si="22">$H68/$U68</f>
        <v>0.54023604429182759</v>
      </c>
      <c r="R68" s="69">
        <f t="shared" si="16"/>
        <v>0.57511308837403996</v>
      </c>
      <c r="S68" s="56">
        <v>0</v>
      </c>
      <c r="T68" s="56">
        <f t="shared" si="17"/>
        <v>29</v>
      </c>
      <c r="U68" s="56">
        <v>9971701.4199999999</v>
      </c>
      <c r="V68" s="70" t="s">
        <v>124</v>
      </c>
      <c r="W68" s="56" t="b">
        <v>0</v>
      </c>
      <c r="X68" s="71">
        <f t="shared" si="18"/>
        <v>0.57511308837403996</v>
      </c>
      <c r="Y68" s="71">
        <f t="shared" si="19"/>
        <v>0.54023604429182759</v>
      </c>
      <c r="Z68" s="61">
        <f t="shared" si="20"/>
        <v>29</v>
      </c>
      <c r="AA68" s="58">
        <v>44104</v>
      </c>
      <c r="AB68" s="61" t="str">
        <f t="shared" ref="AB68:AB113" si="23">IFERROR(IF(DATEDIF($Z$1+1,EOMONTH(AA68,-1),"M")&gt;0,"Yes","No"),"No")</f>
        <v>No</v>
      </c>
      <c r="AG68" s="56" t="b">
        <v>1</v>
      </c>
    </row>
    <row r="69" spans="1:33" x14ac:dyDescent="0.3">
      <c r="A69" s="3">
        <v>1965</v>
      </c>
      <c r="B69" s="67">
        <v>9746</v>
      </c>
      <c r="C69" s="52">
        <v>9.7500000000000003E-2</v>
      </c>
      <c r="D69" s="56" t="s">
        <v>76</v>
      </c>
      <c r="E69" s="52">
        <f t="shared" si="21"/>
        <v>6.25E-2</v>
      </c>
      <c r="F69" s="56">
        <f t="shared" si="15"/>
        <v>153</v>
      </c>
      <c r="G69" s="56">
        <v>47660.47</v>
      </c>
      <c r="H69" s="56">
        <v>4174426.84</v>
      </c>
      <c r="I69" s="56">
        <v>180</v>
      </c>
      <c r="J69" s="58">
        <v>43586</v>
      </c>
      <c r="K69" s="58">
        <v>43678</v>
      </c>
      <c r="L69" s="56">
        <v>4464947.8499999996</v>
      </c>
      <c r="M69" s="66" t="s">
        <v>67</v>
      </c>
      <c r="N69" s="66" t="s">
        <v>67</v>
      </c>
      <c r="O69" s="56">
        <v>7859686</v>
      </c>
      <c r="P69" s="56">
        <v>4464948</v>
      </c>
      <c r="Q69" s="68">
        <f t="shared" si="22"/>
        <v>0.53111878006322388</v>
      </c>
      <c r="R69" s="69">
        <f t="shared" si="16"/>
        <v>0.5680822363641499</v>
      </c>
      <c r="S69" s="56">
        <v>0</v>
      </c>
      <c r="T69" s="56">
        <f t="shared" si="17"/>
        <v>27</v>
      </c>
      <c r="U69" s="56">
        <v>7859686</v>
      </c>
      <c r="V69" s="70" t="s">
        <v>124</v>
      </c>
      <c r="W69" s="56" t="b">
        <v>0</v>
      </c>
      <c r="X69" s="71">
        <f t="shared" si="18"/>
        <v>0.5680822363641499</v>
      </c>
      <c r="Y69" s="71">
        <f t="shared" si="19"/>
        <v>0.53111878006322388</v>
      </c>
      <c r="Z69" s="61">
        <f t="shared" si="20"/>
        <v>27</v>
      </c>
      <c r="AA69" s="58">
        <v>0</v>
      </c>
      <c r="AB69" s="61" t="str">
        <f t="shared" si="23"/>
        <v>No</v>
      </c>
      <c r="AG69" s="56" t="b">
        <v>1</v>
      </c>
    </row>
    <row r="70" spans="1:33" x14ac:dyDescent="0.3">
      <c r="A70" s="3">
        <v>1967</v>
      </c>
      <c r="B70" s="67">
        <v>9541</v>
      </c>
      <c r="C70" s="52">
        <v>0.105</v>
      </c>
      <c r="D70" s="56" t="s">
        <v>76</v>
      </c>
      <c r="E70" s="52">
        <f t="shared" si="21"/>
        <v>6.9999999999999993E-2</v>
      </c>
      <c r="F70" s="56">
        <f t="shared" si="15"/>
        <v>160</v>
      </c>
      <c r="G70" s="56">
        <v>25161.97</v>
      </c>
      <c r="H70" s="56">
        <v>2126126.5699999998</v>
      </c>
      <c r="I70" s="56">
        <v>180</v>
      </c>
      <c r="J70" s="58">
        <v>43617</v>
      </c>
      <c r="K70" s="58">
        <v>43891</v>
      </c>
      <c r="L70" s="56">
        <v>2178465.8199999998</v>
      </c>
      <c r="M70" s="66" t="s">
        <v>75</v>
      </c>
      <c r="N70" s="66" t="s">
        <v>108</v>
      </c>
      <c r="O70" s="56">
        <v>3837340</v>
      </c>
      <c r="P70" s="56">
        <v>2262133</v>
      </c>
      <c r="Q70" s="68">
        <f t="shared" si="22"/>
        <v>0.5540625980496906</v>
      </c>
      <c r="R70" s="69">
        <f t="shared" si="16"/>
        <v>0.58950549078267755</v>
      </c>
      <c r="S70" s="56">
        <v>0</v>
      </c>
      <c r="T70" s="56">
        <f t="shared" si="17"/>
        <v>20</v>
      </c>
      <c r="U70" s="56">
        <v>3837340</v>
      </c>
      <c r="V70" s="70" t="s">
        <v>124</v>
      </c>
      <c r="W70" s="56" t="b">
        <v>0</v>
      </c>
      <c r="X70" s="71">
        <f t="shared" si="18"/>
        <v>0.58950549078267755</v>
      </c>
      <c r="Y70" s="71">
        <f t="shared" si="19"/>
        <v>0.5540625980496906</v>
      </c>
      <c r="Z70" s="61">
        <f t="shared" si="20"/>
        <v>20</v>
      </c>
      <c r="AA70" s="58">
        <v>0</v>
      </c>
      <c r="AB70" s="61" t="str">
        <f t="shared" si="23"/>
        <v>No</v>
      </c>
      <c r="AG70" s="56" t="b">
        <v>1</v>
      </c>
    </row>
    <row r="71" spans="1:33" x14ac:dyDescent="0.3">
      <c r="A71" s="3">
        <v>1972</v>
      </c>
      <c r="B71" s="67">
        <v>10232</v>
      </c>
      <c r="C71" s="52">
        <v>0.1</v>
      </c>
      <c r="D71" s="56" t="s">
        <v>76</v>
      </c>
      <c r="E71" s="52">
        <f t="shared" si="21"/>
        <v>6.5000000000000002E-2</v>
      </c>
      <c r="F71" s="56">
        <f t="shared" si="15"/>
        <v>154</v>
      </c>
      <c r="G71" s="56">
        <v>114001.1</v>
      </c>
      <c r="H71" s="56">
        <v>9893524.8399999999</v>
      </c>
      <c r="I71" s="56">
        <v>180</v>
      </c>
      <c r="J71" s="58">
        <v>43647</v>
      </c>
      <c r="K71" s="58">
        <v>43709</v>
      </c>
      <c r="L71" s="56">
        <v>9963000</v>
      </c>
      <c r="M71" s="66" t="s">
        <v>71</v>
      </c>
      <c r="N71" s="66" t="s">
        <v>81</v>
      </c>
      <c r="O71" s="56">
        <v>14000000</v>
      </c>
      <c r="P71" s="56">
        <v>9963000</v>
      </c>
      <c r="Q71" s="68">
        <f t="shared" si="22"/>
        <v>0.71692208985507244</v>
      </c>
      <c r="R71" s="69">
        <f t="shared" si="16"/>
        <v>0.71164285714285713</v>
      </c>
      <c r="S71" s="56">
        <v>0</v>
      </c>
      <c r="T71" s="56">
        <f t="shared" si="17"/>
        <v>26</v>
      </c>
      <c r="U71" s="56">
        <v>13800000</v>
      </c>
      <c r="V71" s="70" t="s">
        <v>124</v>
      </c>
      <c r="W71" s="56" t="b">
        <v>0</v>
      </c>
      <c r="X71" s="71">
        <f t="shared" si="18"/>
        <v>0.71164285714285713</v>
      </c>
      <c r="Y71" s="71">
        <f t="shared" si="19"/>
        <v>0.71692208985507244</v>
      </c>
      <c r="Z71" s="61">
        <f t="shared" si="20"/>
        <v>26</v>
      </c>
      <c r="AA71" s="58">
        <v>0</v>
      </c>
      <c r="AB71" s="61" t="str">
        <f t="shared" si="23"/>
        <v>No</v>
      </c>
      <c r="AG71" s="56" t="b">
        <v>1</v>
      </c>
    </row>
    <row r="72" spans="1:33" x14ac:dyDescent="0.3">
      <c r="A72" s="3">
        <v>1976</v>
      </c>
      <c r="B72" s="67">
        <v>9954</v>
      </c>
      <c r="C72" s="52">
        <v>0.11</v>
      </c>
      <c r="D72" s="56" t="s">
        <v>76</v>
      </c>
      <c r="E72" s="52">
        <f t="shared" si="21"/>
        <v>7.4999999999999997E-2</v>
      </c>
      <c r="F72" s="56">
        <f t="shared" si="15"/>
        <v>165</v>
      </c>
      <c r="G72" s="56">
        <v>348745.81</v>
      </c>
      <c r="H72" s="56">
        <v>28893187.510000002</v>
      </c>
      <c r="I72" s="56">
        <v>180</v>
      </c>
      <c r="J72" s="58">
        <v>43678</v>
      </c>
      <c r="K72" s="58">
        <v>44044</v>
      </c>
      <c r="L72" s="56">
        <v>29739963</v>
      </c>
      <c r="M72" s="66" t="s">
        <v>67</v>
      </c>
      <c r="N72" s="66" t="s">
        <v>77</v>
      </c>
      <c r="O72" s="56">
        <v>52981938</v>
      </c>
      <c r="P72" s="56">
        <v>31857045</v>
      </c>
      <c r="Q72" s="68">
        <f t="shared" si="22"/>
        <v>0.54534032918916631</v>
      </c>
      <c r="R72" s="69">
        <f t="shared" si="16"/>
        <v>0.6012812328609044</v>
      </c>
      <c r="S72" s="56">
        <v>0</v>
      </c>
      <c r="T72" s="56">
        <f t="shared" si="17"/>
        <v>15</v>
      </c>
      <c r="U72" s="56">
        <v>52981938</v>
      </c>
      <c r="V72" s="70" t="s">
        <v>124</v>
      </c>
      <c r="W72" s="56" t="b">
        <v>0</v>
      </c>
      <c r="X72" s="71">
        <f t="shared" si="18"/>
        <v>0.6012812328609044</v>
      </c>
      <c r="Y72" s="71">
        <f t="shared" si="19"/>
        <v>0.54534032918916631</v>
      </c>
      <c r="Z72" s="61">
        <f t="shared" si="20"/>
        <v>15</v>
      </c>
      <c r="AA72" s="58">
        <v>44074</v>
      </c>
      <c r="AB72" s="61" t="str">
        <f t="shared" si="23"/>
        <v>No</v>
      </c>
      <c r="AG72" s="56" t="b">
        <v>1</v>
      </c>
    </row>
    <row r="73" spans="1:33" x14ac:dyDescent="0.3">
      <c r="A73" s="3">
        <v>1979</v>
      </c>
      <c r="B73" s="67">
        <v>10159</v>
      </c>
      <c r="C73" s="52">
        <v>0.105</v>
      </c>
      <c r="D73" s="56" t="s">
        <v>76</v>
      </c>
      <c r="E73" s="52">
        <f t="shared" si="21"/>
        <v>6.9999999999999993E-2</v>
      </c>
      <c r="F73" s="56">
        <f t="shared" si="15"/>
        <v>155</v>
      </c>
      <c r="G73" s="56">
        <v>7146.05</v>
      </c>
      <c r="H73" s="56">
        <v>606838.56999999995</v>
      </c>
      <c r="I73" s="56">
        <v>180</v>
      </c>
      <c r="J73" s="58">
        <v>43678</v>
      </c>
      <c r="K73" s="58">
        <v>43739</v>
      </c>
      <c r="L73" s="56">
        <v>640000</v>
      </c>
      <c r="M73" s="66" t="s">
        <v>71</v>
      </c>
      <c r="N73" s="66" t="s">
        <v>81</v>
      </c>
      <c r="O73" s="56">
        <v>1119741</v>
      </c>
      <c r="P73" s="56">
        <v>640000</v>
      </c>
      <c r="Q73" s="68">
        <f t="shared" si="22"/>
        <v>0.54194547667719584</v>
      </c>
      <c r="R73" s="69">
        <f t="shared" si="16"/>
        <v>0.5715607448508182</v>
      </c>
      <c r="S73" s="56">
        <v>0</v>
      </c>
      <c r="T73" s="56">
        <f t="shared" si="17"/>
        <v>25</v>
      </c>
      <c r="U73" s="56">
        <v>1119741</v>
      </c>
      <c r="V73" s="70" t="s">
        <v>124</v>
      </c>
      <c r="W73" s="56" t="b">
        <v>0</v>
      </c>
      <c r="X73" s="71">
        <f t="shared" si="18"/>
        <v>0.5715607448508182</v>
      </c>
      <c r="Y73" s="71">
        <f t="shared" si="19"/>
        <v>0.54194547667719584</v>
      </c>
      <c r="Z73" s="61">
        <f t="shared" si="20"/>
        <v>25</v>
      </c>
      <c r="AA73" s="58">
        <v>0</v>
      </c>
      <c r="AB73" s="61" t="str">
        <f t="shared" si="23"/>
        <v>No</v>
      </c>
      <c r="AG73" s="56" t="b">
        <v>1</v>
      </c>
    </row>
    <row r="74" spans="1:33" x14ac:dyDescent="0.3">
      <c r="A74" s="3">
        <v>1981</v>
      </c>
      <c r="B74" s="67">
        <v>10182</v>
      </c>
      <c r="C74" s="52">
        <v>0.11109999999999999</v>
      </c>
      <c r="D74" s="56" t="s">
        <v>98</v>
      </c>
      <c r="E74" s="52">
        <f t="shared" si="21"/>
        <v>7.4349999999999999E-2</v>
      </c>
      <c r="F74" s="56">
        <f t="shared" si="15"/>
        <v>155</v>
      </c>
      <c r="G74" s="56">
        <v>42691.19</v>
      </c>
      <c r="H74" s="56">
        <v>3528222.7200000002</v>
      </c>
      <c r="I74" s="56">
        <v>180</v>
      </c>
      <c r="J74" s="58">
        <v>43678</v>
      </c>
      <c r="K74" s="58">
        <v>43739</v>
      </c>
      <c r="L74" s="56">
        <v>3695962.63</v>
      </c>
      <c r="M74" s="66" t="s">
        <v>57</v>
      </c>
      <c r="N74" s="66" t="s">
        <v>109</v>
      </c>
      <c r="O74" s="56">
        <v>7650679.6399999997</v>
      </c>
      <c r="P74" s="56">
        <v>3576375</v>
      </c>
      <c r="Q74" s="68">
        <f t="shared" si="22"/>
        <v>0.46116461360549144</v>
      </c>
      <c r="R74" s="69">
        <f t="shared" si="16"/>
        <v>0.46745847013403374</v>
      </c>
      <c r="S74" s="56">
        <v>0</v>
      </c>
      <c r="T74" s="56">
        <f t="shared" si="17"/>
        <v>25</v>
      </c>
      <c r="U74" s="56">
        <v>7650679.6399999997</v>
      </c>
      <c r="V74" s="70" t="s">
        <v>124</v>
      </c>
      <c r="W74" s="56" t="b">
        <v>0</v>
      </c>
      <c r="X74" s="71">
        <f t="shared" si="18"/>
        <v>0.46745847013403374</v>
      </c>
      <c r="Y74" s="71">
        <f t="shared" si="19"/>
        <v>0.46116461360549144</v>
      </c>
      <c r="Z74" s="61">
        <f t="shared" si="20"/>
        <v>25</v>
      </c>
      <c r="AA74" s="58">
        <v>44377</v>
      </c>
      <c r="AB74" s="61" t="str">
        <f t="shared" si="23"/>
        <v>No</v>
      </c>
      <c r="AG74" s="56" t="b">
        <v>1</v>
      </c>
    </row>
    <row r="75" spans="1:33" x14ac:dyDescent="0.3">
      <c r="A75" s="3">
        <v>1983</v>
      </c>
      <c r="B75" s="67">
        <v>10232</v>
      </c>
      <c r="C75" s="52">
        <v>0.1</v>
      </c>
      <c r="D75" s="56" t="s">
        <v>76</v>
      </c>
      <c r="E75" s="52">
        <f t="shared" si="21"/>
        <v>6.5000000000000002E-2</v>
      </c>
      <c r="F75" s="56">
        <f t="shared" si="15"/>
        <v>156</v>
      </c>
      <c r="G75" s="56">
        <v>184970.36</v>
      </c>
      <c r="H75" s="56">
        <v>16155776.74</v>
      </c>
      <c r="I75" s="56">
        <v>180</v>
      </c>
      <c r="J75" s="58">
        <v>43678</v>
      </c>
      <c r="K75" s="58">
        <v>43770</v>
      </c>
      <c r="L75" s="56">
        <v>17182125</v>
      </c>
      <c r="M75" s="66" t="s">
        <v>71</v>
      </c>
      <c r="N75" s="66" t="s">
        <v>81</v>
      </c>
      <c r="O75" s="56">
        <v>22446803</v>
      </c>
      <c r="P75" s="56">
        <v>17182125</v>
      </c>
      <c r="Q75" s="68">
        <f t="shared" si="22"/>
        <v>0.71973620207741829</v>
      </c>
      <c r="R75" s="69">
        <f t="shared" si="16"/>
        <v>0.76545978507496149</v>
      </c>
      <c r="S75" s="56">
        <v>0</v>
      </c>
      <c r="T75" s="56">
        <f t="shared" si="17"/>
        <v>24</v>
      </c>
      <c r="U75" s="56">
        <v>22446803</v>
      </c>
      <c r="V75" s="70" t="s">
        <v>124</v>
      </c>
      <c r="W75" s="56" t="b">
        <v>0</v>
      </c>
      <c r="X75" s="71">
        <f t="shared" si="18"/>
        <v>0.76545978507496149</v>
      </c>
      <c r="Y75" s="71">
        <f t="shared" si="19"/>
        <v>0.71973620207741829</v>
      </c>
      <c r="Z75" s="61">
        <f t="shared" si="20"/>
        <v>24</v>
      </c>
      <c r="AA75" s="58">
        <v>0</v>
      </c>
      <c r="AB75" s="61" t="str">
        <f t="shared" si="23"/>
        <v>No</v>
      </c>
      <c r="AG75" s="56" t="b">
        <v>1</v>
      </c>
    </row>
    <row r="76" spans="1:33" x14ac:dyDescent="0.3">
      <c r="A76" s="3">
        <v>1992</v>
      </c>
      <c r="B76" s="67">
        <v>10145</v>
      </c>
      <c r="C76" s="52">
        <v>0.115</v>
      </c>
      <c r="D76" s="56" t="s">
        <v>76</v>
      </c>
      <c r="E76" s="52">
        <f t="shared" si="21"/>
        <v>0.08</v>
      </c>
      <c r="F76" s="56">
        <f t="shared" si="15"/>
        <v>159</v>
      </c>
      <c r="G76" s="56">
        <v>13550.68</v>
      </c>
      <c r="H76" s="56">
        <v>1096777.8799999999</v>
      </c>
      <c r="I76" s="56">
        <v>180</v>
      </c>
      <c r="J76" s="58">
        <v>43709</v>
      </c>
      <c r="K76" s="58">
        <v>43862</v>
      </c>
      <c r="L76" s="56">
        <v>1122643.47</v>
      </c>
      <c r="M76" s="66" t="s">
        <v>71</v>
      </c>
      <c r="N76" s="66" t="s">
        <v>107</v>
      </c>
      <c r="O76" s="56">
        <v>1986896</v>
      </c>
      <c r="P76" s="56">
        <v>1160191</v>
      </c>
      <c r="Q76" s="68">
        <f t="shared" si="22"/>
        <v>0.55200568122337546</v>
      </c>
      <c r="R76" s="69">
        <f t="shared" si="16"/>
        <v>0.58392135270290946</v>
      </c>
      <c r="S76" s="56">
        <v>0</v>
      </c>
      <c r="T76" s="56">
        <f t="shared" si="17"/>
        <v>21</v>
      </c>
      <c r="U76" s="56">
        <v>1986896</v>
      </c>
      <c r="V76" s="70" t="s">
        <v>124</v>
      </c>
      <c r="W76" s="56" t="b">
        <v>0</v>
      </c>
      <c r="X76" s="71">
        <f t="shared" si="18"/>
        <v>0.58392135270290946</v>
      </c>
      <c r="Y76" s="71">
        <f t="shared" si="19"/>
        <v>0.55200568122337546</v>
      </c>
      <c r="Z76" s="61">
        <f t="shared" si="20"/>
        <v>21</v>
      </c>
      <c r="AA76" s="58">
        <v>44227</v>
      </c>
      <c r="AB76" s="61" t="str">
        <f t="shared" si="23"/>
        <v>No</v>
      </c>
      <c r="AG76" s="56" t="b">
        <v>1</v>
      </c>
    </row>
    <row r="77" spans="1:33" x14ac:dyDescent="0.3">
      <c r="A77" s="3">
        <v>1993</v>
      </c>
      <c r="B77" s="67">
        <v>9833</v>
      </c>
      <c r="C77" s="52">
        <v>0.1125</v>
      </c>
      <c r="D77" s="56" t="s">
        <v>76</v>
      </c>
      <c r="E77" s="52">
        <f t="shared" si="21"/>
        <v>7.7499999999999999E-2</v>
      </c>
      <c r="F77" s="56">
        <f t="shared" si="15"/>
        <v>160</v>
      </c>
      <c r="G77" s="56">
        <v>57100.43</v>
      </c>
      <c r="H77" s="56">
        <v>4686817.74</v>
      </c>
      <c r="I77" s="56">
        <v>180</v>
      </c>
      <c r="J77" s="58">
        <v>43709</v>
      </c>
      <c r="K77" s="58">
        <v>43891</v>
      </c>
      <c r="L77" s="56">
        <v>4913767.68</v>
      </c>
      <c r="M77" s="66" t="s">
        <v>53</v>
      </c>
      <c r="N77" s="66" t="s">
        <v>110</v>
      </c>
      <c r="O77" s="56">
        <v>8865309</v>
      </c>
      <c r="P77" s="56">
        <v>5680989</v>
      </c>
      <c r="Q77" s="68">
        <f t="shared" si="22"/>
        <v>0.40483293967046341</v>
      </c>
      <c r="R77" s="69">
        <f t="shared" si="16"/>
        <v>0.64081116631129276</v>
      </c>
      <c r="S77" s="56">
        <v>0</v>
      </c>
      <c r="T77" s="56">
        <f t="shared" si="17"/>
        <v>20</v>
      </c>
      <c r="U77" s="56">
        <v>11577165</v>
      </c>
      <c r="V77" s="70" t="s">
        <v>124</v>
      </c>
      <c r="W77" s="56" t="b">
        <v>0</v>
      </c>
      <c r="X77" s="71">
        <f t="shared" si="18"/>
        <v>0.64081116631129276</v>
      </c>
      <c r="Y77" s="71">
        <f t="shared" si="19"/>
        <v>0.40483293967046341</v>
      </c>
      <c r="Z77" s="61">
        <f t="shared" si="20"/>
        <v>20</v>
      </c>
      <c r="AA77" s="58">
        <v>0</v>
      </c>
      <c r="AB77" s="61" t="str">
        <f t="shared" si="23"/>
        <v>No</v>
      </c>
      <c r="AG77" s="56" t="b">
        <v>1</v>
      </c>
    </row>
    <row r="78" spans="1:33" x14ac:dyDescent="0.3">
      <c r="A78" s="3">
        <v>1994</v>
      </c>
      <c r="B78" s="67">
        <v>10190</v>
      </c>
      <c r="C78" s="52">
        <v>0.105</v>
      </c>
      <c r="D78" s="56" t="s">
        <v>76</v>
      </c>
      <c r="E78" s="52">
        <f t="shared" si="21"/>
        <v>6.9999999999999993E-2</v>
      </c>
      <c r="F78" s="56">
        <f t="shared" si="15"/>
        <v>157</v>
      </c>
      <c r="G78" s="56">
        <v>9985.98</v>
      </c>
      <c r="H78" s="56">
        <v>850602.3</v>
      </c>
      <c r="I78" s="56">
        <v>180</v>
      </c>
      <c r="J78" s="58">
        <v>43709</v>
      </c>
      <c r="K78" s="58">
        <v>43800</v>
      </c>
      <c r="L78" s="56">
        <v>877710</v>
      </c>
      <c r="M78" s="66" t="s">
        <v>53</v>
      </c>
      <c r="N78" s="66" t="s">
        <v>77</v>
      </c>
      <c r="O78" s="56">
        <v>1609856.14</v>
      </c>
      <c r="P78" s="56">
        <v>896594</v>
      </c>
      <c r="Q78" s="68">
        <f t="shared" si="22"/>
        <v>0.52837166802496627</v>
      </c>
      <c r="R78" s="69">
        <f t="shared" si="16"/>
        <v>0.55694044810736942</v>
      </c>
      <c r="S78" s="56">
        <v>0</v>
      </c>
      <c r="T78" s="56">
        <f t="shared" si="17"/>
        <v>23</v>
      </c>
      <c r="U78" s="56">
        <v>1609856</v>
      </c>
      <c r="V78" s="70" t="s">
        <v>124</v>
      </c>
      <c r="W78" s="56" t="b">
        <v>0</v>
      </c>
      <c r="X78" s="71">
        <f t="shared" si="18"/>
        <v>0.55694044810736942</v>
      </c>
      <c r="Y78" s="71">
        <f t="shared" si="19"/>
        <v>0.52837166802496627</v>
      </c>
      <c r="Z78" s="61">
        <f t="shared" si="20"/>
        <v>23</v>
      </c>
      <c r="AA78" s="58">
        <v>0</v>
      </c>
      <c r="AB78" s="61" t="str">
        <f t="shared" si="23"/>
        <v>No</v>
      </c>
      <c r="AG78" s="56" t="b">
        <v>1</v>
      </c>
    </row>
    <row r="79" spans="1:33" x14ac:dyDescent="0.3">
      <c r="A79" s="3">
        <v>2018</v>
      </c>
      <c r="B79" s="67">
        <v>10306</v>
      </c>
      <c r="C79" s="52">
        <v>0.115</v>
      </c>
      <c r="D79" s="56" t="s">
        <v>98</v>
      </c>
      <c r="E79" s="52">
        <f t="shared" si="21"/>
        <v>7.8250000000000014E-2</v>
      </c>
      <c r="F79" s="56">
        <f t="shared" si="15"/>
        <v>177</v>
      </c>
      <c r="G79" s="56">
        <v>131860.46</v>
      </c>
      <c r="H79" s="56">
        <v>10722002.48</v>
      </c>
      <c r="I79" s="56">
        <v>180</v>
      </c>
      <c r="J79" s="58">
        <v>43739</v>
      </c>
      <c r="K79" s="58">
        <v>44409</v>
      </c>
      <c r="L79" s="56">
        <v>10896621.460000001</v>
      </c>
      <c r="M79" s="66" t="s">
        <v>67</v>
      </c>
      <c r="N79" s="66" t="s">
        <v>111</v>
      </c>
      <c r="O79" s="56">
        <v>17205723</v>
      </c>
      <c r="P79" s="56">
        <v>11227720</v>
      </c>
      <c r="Q79" s="68">
        <f t="shared" si="22"/>
        <v>0.60662312582380251</v>
      </c>
      <c r="R79" s="69">
        <f t="shared" si="16"/>
        <v>0.65255729154770192</v>
      </c>
      <c r="S79" s="56">
        <v>0</v>
      </c>
      <c r="T79" s="56">
        <f t="shared" si="17"/>
        <v>3</v>
      </c>
      <c r="U79" s="56">
        <v>17674899</v>
      </c>
      <c r="V79" s="70" t="s">
        <v>124</v>
      </c>
      <c r="W79" s="56" t="b">
        <v>0</v>
      </c>
      <c r="X79" s="71">
        <f t="shared" si="18"/>
        <v>0.65255729154770192</v>
      </c>
      <c r="Y79" s="71">
        <f t="shared" si="19"/>
        <v>0.60662312582380251</v>
      </c>
      <c r="Z79" s="61">
        <f t="shared" si="20"/>
        <v>3</v>
      </c>
      <c r="AA79" s="58">
        <v>44104</v>
      </c>
      <c r="AB79" s="61" t="str">
        <f t="shared" si="23"/>
        <v>No</v>
      </c>
      <c r="AG79" s="56" t="b">
        <v>1</v>
      </c>
    </row>
    <row r="80" spans="1:33" x14ac:dyDescent="0.3">
      <c r="A80" s="3">
        <v>1997</v>
      </c>
      <c r="B80" s="67">
        <v>10177</v>
      </c>
      <c r="C80" s="52">
        <v>0.10249999999999999</v>
      </c>
      <c r="D80" s="56" t="s">
        <v>76</v>
      </c>
      <c r="E80" s="52">
        <f t="shared" si="21"/>
        <v>6.7499999999999991E-2</v>
      </c>
      <c r="F80" s="56">
        <f t="shared" si="15"/>
        <v>166</v>
      </c>
      <c r="G80" s="56">
        <v>198743.54</v>
      </c>
      <c r="H80" s="56">
        <v>17088501.789999999</v>
      </c>
      <c r="I80" s="56">
        <v>180</v>
      </c>
      <c r="J80" s="58">
        <v>43709</v>
      </c>
      <c r="K80" s="58">
        <v>44075</v>
      </c>
      <c r="L80" s="56">
        <v>17194969.449999999</v>
      </c>
      <c r="M80" s="66" t="s">
        <v>53</v>
      </c>
      <c r="N80" s="66" t="s">
        <v>97</v>
      </c>
      <c r="O80" s="56">
        <v>37130756</v>
      </c>
      <c r="P80" s="56">
        <v>23345802</v>
      </c>
      <c r="Q80" s="68">
        <f t="shared" si="22"/>
        <v>0.53828485173944873</v>
      </c>
      <c r="R80" s="69">
        <f t="shared" si="16"/>
        <v>0.6287456684156929</v>
      </c>
      <c r="S80" s="56">
        <v>0</v>
      </c>
      <c r="T80" s="56">
        <f t="shared" si="17"/>
        <v>14</v>
      </c>
      <c r="U80" s="56">
        <v>31746206</v>
      </c>
      <c r="V80" s="70" t="s">
        <v>124</v>
      </c>
      <c r="W80" s="56" t="b">
        <v>0</v>
      </c>
      <c r="X80" s="71">
        <f t="shared" si="18"/>
        <v>0.6287456684156929</v>
      </c>
      <c r="Y80" s="71">
        <f t="shared" si="19"/>
        <v>0.53828485173944873</v>
      </c>
      <c r="Z80" s="61">
        <f t="shared" si="20"/>
        <v>14</v>
      </c>
      <c r="AA80" s="58">
        <v>0</v>
      </c>
      <c r="AB80" s="61" t="str">
        <f t="shared" si="23"/>
        <v>No</v>
      </c>
      <c r="AG80" s="56" t="b">
        <v>1</v>
      </c>
    </row>
    <row r="81" spans="1:33" x14ac:dyDescent="0.3">
      <c r="A81" s="3">
        <v>1999</v>
      </c>
      <c r="B81" s="67">
        <v>10215</v>
      </c>
      <c r="C81" s="52">
        <v>0.105</v>
      </c>
      <c r="D81" s="56" t="s">
        <v>76</v>
      </c>
      <c r="E81" s="52">
        <f t="shared" si="21"/>
        <v>6.9999999999999993E-2</v>
      </c>
      <c r="F81" s="56">
        <f t="shared" si="15"/>
        <v>157</v>
      </c>
      <c r="G81" s="56">
        <v>17109.34</v>
      </c>
      <c r="H81" s="56">
        <v>1457367.55</v>
      </c>
      <c r="I81" s="56">
        <v>180</v>
      </c>
      <c r="J81" s="58">
        <v>43709</v>
      </c>
      <c r="K81" s="58">
        <v>43800</v>
      </c>
      <c r="L81" s="56">
        <v>1480119.7</v>
      </c>
      <c r="M81" s="66" t="s">
        <v>53</v>
      </c>
      <c r="N81" s="66" t="s">
        <v>55</v>
      </c>
      <c r="O81" s="56">
        <v>3940547</v>
      </c>
      <c r="P81" s="56">
        <v>1498646</v>
      </c>
      <c r="Q81" s="68">
        <f t="shared" si="22"/>
        <v>0.36983889546299031</v>
      </c>
      <c r="R81" s="69">
        <f t="shared" si="16"/>
        <v>0.38031420510908764</v>
      </c>
      <c r="S81" s="56">
        <v>0</v>
      </c>
      <c r="T81" s="56">
        <f t="shared" si="17"/>
        <v>23</v>
      </c>
      <c r="U81" s="56">
        <v>3940547</v>
      </c>
      <c r="V81" s="70" t="s">
        <v>124</v>
      </c>
      <c r="W81" s="56" t="b">
        <v>0</v>
      </c>
      <c r="X81" s="71">
        <f t="shared" si="18"/>
        <v>0.38031420510908764</v>
      </c>
      <c r="Y81" s="71">
        <f t="shared" si="19"/>
        <v>0.36983889546299031</v>
      </c>
      <c r="Z81" s="61">
        <f t="shared" si="20"/>
        <v>23</v>
      </c>
      <c r="AA81" s="58">
        <v>0</v>
      </c>
      <c r="AB81" s="61" t="str">
        <f t="shared" si="23"/>
        <v>No</v>
      </c>
      <c r="AG81" s="56" t="b">
        <v>1</v>
      </c>
    </row>
    <row r="82" spans="1:33" x14ac:dyDescent="0.3">
      <c r="A82" s="3">
        <v>2000</v>
      </c>
      <c r="B82" s="67">
        <v>10313</v>
      </c>
      <c r="C82" s="52">
        <v>0.105</v>
      </c>
      <c r="D82" s="56" t="s">
        <v>76</v>
      </c>
      <c r="E82" s="52">
        <f t="shared" si="21"/>
        <v>6.9999999999999993E-2</v>
      </c>
      <c r="F82" s="56">
        <f t="shared" si="15"/>
        <v>161</v>
      </c>
      <c r="G82" s="56">
        <v>6833.6</v>
      </c>
      <c r="H82" s="56">
        <v>582083.14</v>
      </c>
      <c r="I82" s="56">
        <v>180</v>
      </c>
      <c r="J82" s="58">
        <v>43709</v>
      </c>
      <c r="K82" s="58">
        <v>43922</v>
      </c>
      <c r="L82" s="56">
        <v>582869.54</v>
      </c>
      <c r="M82" s="66" t="s">
        <v>71</v>
      </c>
      <c r="N82" s="66" t="s">
        <v>107</v>
      </c>
      <c r="O82" s="56">
        <v>1186555</v>
      </c>
      <c r="P82" s="56">
        <v>612093</v>
      </c>
      <c r="Q82" s="68">
        <f t="shared" si="22"/>
        <v>0.49056566278006497</v>
      </c>
      <c r="R82" s="69">
        <f t="shared" si="16"/>
        <v>0.515857250612066</v>
      </c>
      <c r="S82" s="56">
        <v>0</v>
      </c>
      <c r="T82" s="56">
        <f t="shared" si="17"/>
        <v>19</v>
      </c>
      <c r="U82" s="56">
        <v>1186555</v>
      </c>
      <c r="V82" s="70" t="s">
        <v>124</v>
      </c>
      <c r="W82" s="56" t="b">
        <v>0</v>
      </c>
      <c r="X82" s="71">
        <f t="shared" si="18"/>
        <v>0.515857250612066</v>
      </c>
      <c r="Y82" s="71">
        <f t="shared" si="19"/>
        <v>0.49056566278006497</v>
      </c>
      <c r="Z82" s="61">
        <f t="shared" si="20"/>
        <v>19</v>
      </c>
      <c r="AA82" s="58">
        <v>44074</v>
      </c>
      <c r="AB82" s="61" t="str">
        <f t="shared" si="23"/>
        <v>No</v>
      </c>
      <c r="AG82" s="56" t="b">
        <v>1</v>
      </c>
    </row>
    <row r="83" spans="1:33" x14ac:dyDescent="0.3">
      <c r="A83" s="3">
        <v>2001</v>
      </c>
      <c r="B83" s="67">
        <v>8907</v>
      </c>
      <c r="C83" s="52">
        <v>0.105</v>
      </c>
      <c r="D83" s="56" t="s">
        <v>98</v>
      </c>
      <c r="E83" s="52">
        <f t="shared" si="21"/>
        <v>6.8250000000000005E-2</v>
      </c>
      <c r="F83" s="56">
        <f t="shared" si="15"/>
        <v>177</v>
      </c>
      <c r="G83" s="56">
        <v>62976.81</v>
      </c>
      <c r="H83" s="56">
        <v>5364206.8600000003</v>
      </c>
      <c r="I83" s="56">
        <v>180</v>
      </c>
      <c r="J83" s="58">
        <v>43709</v>
      </c>
      <c r="K83" s="58">
        <v>44409</v>
      </c>
      <c r="L83" s="56">
        <v>5192685.58</v>
      </c>
      <c r="M83" s="66" t="s">
        <v>67</v>
      </c>
      <c r="N83" s="66" t="s">
        <v>106</v>
      </c>
      <c r="O83" s="56">
        <v>10075045</v>
      </c>
      <c r="P83" s="56">
        <v>5546167</v>
      </c>
      <c r="Q83" s="68">
        <f t="shared" si="22"/>
        <v>0.56074789218040877</v>
      </c>
      <c r="R83" s="69">
        <f t="shared" si="16"/>
        <v>0.55048558095770295</v>
      </c>
      <c r="S83" s="56">
        <v>0</v>
      </c>
      <c r="T83" s="56">
        <f t="shared" si="17"/>
        <v>3</v>
      </c>
      <c r="U83" s="56">
        <v>9566165</v>
      </c>
      <c r="V83" s="70" t="s">
        <v>124</v>
      </c>
      <c r="W83" s="56" t="b">
        <v>0</v>
      </c>
      <c r="X83" s="71">
        <f t="shared" si="18"/>
        <v>0.55048558095770295</v>
      </c>
      <c r="Y83" s="71">
        <f t="shared" si="19"/>
        <v>0.56074789218040877</v>
      </c>
      <c r="Z83" s="61">
        <f t="shared" si="20"/>
        <v>3</v>
      </c>
      <c r="AA83" s="58">
        <v>0</v>
      </c>
      <c r="AB83" s="61" t="str">
        <f t="shared" si="23"/>
        <v>No</v>
      </c>
      <c r="AG83" s="56" t="b">
        <v>1</v>
      </c>
    </row>
    <row r="84" spans="1:33" x14ac:dyDescent="0.3">
      <c r="A84" s="3">
        <v>2003</v>
      </c>
      <c r="B84" s="67">
        <v>10284</v>
      </c>
      <c r="C84" s="52">
        <v>0.105</v>
      </c>
      <c r="D84" s="56" t="s">
        <v>76</v>
      </c>
      <c r="E84" s="52">
        <f t="shared" si="21"/>
        <v>6.9999999999999993E-2</v>
      </c>
      <c r="F84" s="56">
        <f t="shared" si="15"/>
        <v>168</v>
      </c>
      <c r="G84" s="56">
        <v>52000</v>
      </c>
      <c r="H84" s="56">
        <v>7034578.7999999998</v>
      </c>
      <c r="I84" s="56">
        <v>180</v>
      </c>
      <c r="J84" s="58">
        <v>43709</v>
      </c>
      <c r="K84" s="58">
        <v>44136</v>
      </c>
      <c r="L84" s="56">
        <v>6642588.9999999991</v>
      </c>
      <c r="M84" s="66" t="s">
        <v>64</v>
      </c>
      <c r="N84" s="66" t="s">
        <v>64</v>
      </c>
      <c r="O84" s="56">
        <v>11465894.060000001</v>
      </c>
      <c r="P84" s="56">
        <v>6905742</v>
      </c>
      <c r="Q84" s="68">
        <f t="shared" si="22"/>
        <v>0.68146407339029624</v>
      </c>
      <c r="R84" s="69">
        <f t="shared" si="16"/>
        <v>0.60228552294856974</v>
      </c>
      <c r="S84" s="56">
        <v>54600</v>
      </c>
      <c r="T84" s="56">
        <f t="shared" si="17"/>
        <v>12</v>
      </c>
      <c r="U84" s="56">
        <v>10322743.449999999</v>
      </c>
      <c r="V84" s="70" t="s">
        <v>124</v>
      </c>
      <c r="W84" s="56" t="b">
        <v>0</v>
      </c>
      <c r="X84" s="71">
        <f t="shared" si="18"/>
        <v>0.60228552294856974</v>
      </c>
      <c r="Y84" s="71">
        <f t="shared" si="19"/>
        <v>0.68146407339029624</v>
      </c>
      <c r="Z84" s="61">
        <f t="shared" si="20"/>
        <v>12</v>
      </c>
      <c r="AA84" s="58">
        <v>44347</v>
      </c>
      <c r="AB84" s="61" t="str">
        <f t="shared" si="23"/>
        <v>No</v>
      </c>
      <c r="AG84" s="56" t="b">
        <v>1</v>
      </c>
    </row>
    <row r="85" spans="1:33" x14ac:dyDescent="0.3">
      <c r="A85" s="3">
        <v>2006</v>
      </c>
      <c r="B85" s="67">
        <v>8082</v>
      </c>
      <c r="C85" s="52">
        <v>0.1075</v>
      </c>
      <c r="D85" s="56" t="s">
        <v>76</v>
      </c>
      <c r="E85" s="52">
        <f t="shared" si="21"/>
        <v>7.2499999999999995E-2</v>
      </c>
      <c r="F85" s="56">
        <f t="shared" si="15"/>
        <v>157</v>
      </c>
      <c r="G85" s="56">
        <v>130814.41</v>
      </c>
      <c r="H85" s="56">
        <v>12124607.279999999</v>
      </c>
      <c r="I85" s="56">
        <v>180</v>
      </c>
      <c r="J85" s="58">
        <v>43739</v>
      </c>
      <c r="K85" s="58">
        <v>43800</v>
      </c>
      <c r="L85" s="56">
        <v>11410027.630000001</v>
      </c>
      <c r="M85" s="66" t="s">
        <v>53</v>
      </c>
      <c r="N85" s="66" t="s">
        <v>77</v>
      </c>
      <c r="O85" s="56">
        <v>21032124.649999999</v>
      </c>
      <c r="P85" s="56">
        <v>13642570</v>
      </c>
      <c r="Q85" s="68">
        <f t="shared" si="22"/>
        <v>0.57648038330735174</v>
      </c>
      <c r="R85" s="69">
        <f t="shared" si="16"/>
        <v>0.64865391523818305</v>
      </c>
      <c r="S85" s="56">
        <v>0</v>
      </c>
      <c r="T85" s="56">
        <f t="shared" si="17"/>
        <v>23</v>
      </c>
      <c r="U85" s="56">
        <v>21032124.649999999</v>
      </c>
      <c r="V85" s="70" t="s">
        <v>124</v>
      </c>
      <c r="W85" s="56" t="b">
        <v>0</v>
      </c>
      <c r="X85" s="71">
        <f t="shared" si="18"/>
        <v>0.64865391523818305</v>
      </c>
      <c r="Y85" s="71">
        <f t="shared" si="19"/>
        <v>0.57648038330735174</v>
      </c>
      <c r="Z85" s="61">
        <f t="shared" si="20"/>
        <v>23</v>
      </c>
      <c r="AA85" s="58">
        <v>0</v>
      </c>
      <c r="AB85" s="61" t="str">
        <f t="shared" si="23"/>
        <v>No</v>
      </c>
      <c r="AG85" s="56" t="b">
        <v>1</v>
      </c>
    </row>
    <row r="86" spans="1:33" x14ac:dyDescent="0.3">
      <c r="A86" s="3">
        <v>2010</v>
      </c>
      <c r="B86" s="67">
        <v>8839</v>
      </c>
      <c r="C86" s="52">
        <v>0.1</v>
      </c>
      <c r="D86" s="56" t="s">
        <v>76</v>
      </c>
      <c r="E86" s="52">
        <f t="shared" si="21"/>
        <v>6.5000000000000002E-2</v>
      </c>
      <c r="F86" s="56">
        <f t="shared" si="15"/>
        <v>157</v>
      </c>
      <c r="G86" s="56">
        <v>36728.080000000002</v>
      </c>
      <c r="H86" s="56">
        <v>3218048.98</v>
      </c>
      <c r="I86" s="56">
        <v>180</v>
      </c>
      <c r="J86" s="58">
        <v>43739</v>
      </c>
      <c r="K86" s="58">
        <v>43800</v>
      </c>
      <c r="L86" s="56">
        <v>3905332</v>
      </c>
      <c r="M86" s="66" t="s">
        <v>57</v>
      </c>
      <c r="N86" s="66" t="s">
        <v>57</v>
      </c>
      <c r="O86" s="56">
        <v>7053092</v>
      </c>
      <c r="P86" s="56">
        <v>4300929</v>
      </c>
      <c r="Q86" s="68">
        <f t="shared" si="22"/>
        <v>0.45626074067940697</v>
      </c>
      <c r="R86" s="69">
        <f t="shared" si="16"/>
        <v>0.60979340691997208</v>
      </c>
      <c r="S86" s="56">
        <v>0</v>
      </c>
      <c r="T86" s="56">
        <f t="shared" si="17"/>
        <v>23</v>
      </c>
      <c r="U86" s="56">
        <v>7053092</v>
      </c>
      <c r="V86" s="70" t="s">
        <v>124</v>
      </c>
      <c r="W86" s="56" t="b">
        <v>0</v>
      </c>
      <c r="X86" s="71">
        <f t="shared" si="18"/>
        <v>0.60979340691997208</v>
      </c>
      <c r="Y86" s="71">
        <f t="shared" si="19"/>
        <v>0.45626074067940697</v>
      </c>
      <c r="Z86" s="61">
        <f t="shared" si="20"/>
        <v>23</v>
      </c>
      <c r="AA86" s="58">
        <v>0</v>
      </c>
      <c r="AB86" s="61" t="str">
        <f t="shared" si="23"/>
        <v>No</v>
      </c>
      <c r="AG86" s="56" t="b">
        <v>1</v>
      </c>
    </row>
    <row r="87" spans="1:33" x14ac:dyDescent="0.3">
      <c r="A87" s="3">
        <v>2014</v>
      </c>
      <c r="B87" s="67">
        <v>10227</v>
      </c>
      <c r="C87" s="52">
        <v>0.115</v>
      </c>
      <c r="D87" s="56" t="s">
        <v>76</v>
      </c>
      <c r="E87" s="52">
        <f t="shared" si="21"/>
        <v>0.08</v>
      </c>
      <c r="F87" s="56">
        <f t="shared" si="15"/>
        <v>157</v>
      </c>
      <c r="G87" s="56">
        <v>47460.61</v>
      </c>
      <c r="H87" s="56">
        <v>3859176.27</v>
      </c>
      <c r="I87" s="56">
        <v>180</v>
      </c>
      <c r="J87" s="58">
        <v>43739</v>
      </c>
      <c r="K87" s="58">
        <v>43800</v>
      </c>
      <c r="L87" s="56">
        <v>4025920</v>
      </c>
      <c r="M87" s="66" t="s">
        <v>53</v>
      </c>
      <c r="N87" s="66" t="s">
        <v>54</v>
      </c>
      <c r="O87" s="56">
        <v>6949581.3899999997</v>
      </c>
      <c r="P87" s="56">
        <v>3858903</v>
      </c>
      <c r="Q87" s="68">
        <f t="shared" si="22"/>
        <v>0.5352657690220799</v>
      </c>
      <c r="R87" s="69">
        <f t="shared" si="16"/>
        <v>0.55527128663500702</v>
      </c>
      <c r="S87" s="56">
        <v>0</v>
      </c>
      <c r="T87" s="56">
        <f t="shared" si="17"/>
        <v>23</v>
      </c>
      <c r="U87" s="56">
        <v>7209832</v>
      </c>
      <c r="V87" s="70" t="s">
        <v>124</v>
      </c>
      <c r="W87" s="56" t="b">
        <v>0</v>
      </c>
      <c r="X87" s="71">
        <f t="shared" si="18"/>
        <v>0.55527128663500702</v>
      </c>
      <c r="Y87" s="71">
        <f t="shared" si="19"/>
        <v>0.5352657690220799</v>
      </c>
      <c r="Z87" s="61">
        <f t="shared" si="20"/>
        <v>23</v>
      </c>
      <c r="AA87" s="58">
        <v>0</v>
      </c>
      <c r="AB87" s="61" t="str">
        <f t="shared" si="23"/>
        <v>No</v>
      </c>
      <c r="AG87" s="56" t="b">
        <v>1</v>
      </c>
    </row>
    <row r="88" spans="1:33" x14ac:dyDescent="0.3">
      <c r="A88" s="3">
        <v>2016</v>
      </c>
      <c r="B88" s="67">
        <v>10208</v>
      </c>
      <c r="C88" s="52">
        <v>0.115</v>
      </c>
      <c r="D88" s="56" t="s">
        <v>76</v>
      </c>
      <c r="E88" s="52">
        <f t="shared" si="21"/>
        <v>0.08</v>
      </c>
      <c r="F88" s="56">
        <f t="shared" si="15"/>
        <v>167</v>
      </c>
      <c r="G88" s="56">
        <v>22362.799999999999</v>
      </c>
      <c r="H88" s="56">
        <v>1827944.48</v>
      </c>
      <c r="I88" s="56">
        <v>180</v>
      </c>
      <c r="J88" s="58">
        <v>43739</v>
      </c>
      <c r="K88" s="58">
        <v>44105</v>
      </c>
      <c r="L88" s="56">
        <v>1795404</v>
      </c>
      <c r="M88" s="66" t="s">
        <v>53</v>
      </c>
      <c r="N88" s="66" t="s">
        <v>84</v>
      </c>
      <c r="O88" s="56">
        <v>4299326</v>
      </c>
      <c r="P88" s="56">
        <v>1953644</v>
      </c>
      <c r="Q88" s="68">
        <f t="shared" si="22"/>
        <v>0.42517001036906715</v>
      </c>
      <c r="R88" s="69">
        <f t="shared" si="16"/>
        <v>0.45440703961504664</v>
      </c>
      <c r="S88" s="56">
        <v>9480.94</v>
      </c>
      <c r="T88" s="56">
        <f t="shared" si="17"/>
        <v>13</v>
      </c>
      <c r="U88" s="56">
        <v>4299326</v>
      </c>
      <c r="V88" s="70" t="s">
        <v>124</v>
      </c>
      <c r="W88" s="56" t="b">
        <v>0</v>
      </c>
      <c r="X88" s="71">
        <f t="shared" si="18"/>
        <v>0.45440703961504664</v>
      </c>
      <c r="Y88" s="71">
        <f t="shared" si="19"/>
        <v>0.42517001036906715</v>
      </c>
      <c r="Z88" s="61">
        <f t="shared" si="20"/>
        <v>13</v>
      </c>
      <c r="AA88" s="58">
        <v>44135</v>
      </c>
      <c r="AB88" s="61" t="str">
        <f t="shared" si="23"/>
        <v>No</v>
      </c>
      <c r="AG88" s="56" t="b">
        <v>1</v>
      </c>
    </row>
    <row r="89" spans="1:33" x14ac:dyDescent="0.3">
      <c r="A89" s="3">
        <v>2019</v>
      </c>
      <c r="B89" s="67">
        <v>8442</v>
      </c>
      <c r="C89" s="52">
        <v>0.10150000000000001</v>
      </c>
      <c r="D89" s="56" t="s">
        <v>76</v>
      </c>
      <c r="E89" s="52">
        <f t="shared" si="21"/>
        <v>6.6500000000000004E-2</v>
      </c>
      <c r="F89" s="56">
        <f t="shared" si="15"/>
        <v>157</v>
      </c>
      <c r="G89" s="56">
        <v>63762.53</v>
      </c>
      <c r="H89" s="56">
        <v>5544539.4100000001</v>
      </c>
      <c r="I89" s="56">
        <v>180</v>
      </c>
      <c r="J89" s="58">
        <v>43739</v>
      </c>
      <c r="K89" s="58">
        <v>43800</v>
      </c>
      <c r="L89" s="56">
        <v>5670180</v>
      </c>
      <c r="M89" s="66" t="s">
        <v>53</v>
      </c>
      <c r="N89" s="66" t="s">
        <v>53</v>
      </c>
      <c r="O89" s="56">
        <v>9297992</v>
      </c>
      <c r="P89" s="56">
        <v>5670180</v>
      </c>
      <c r="Q89" s="68">
        <f t="shared" si="22"/>
        <v>0.59631578624718118</v>
      </c>
      <c r="R89" s="69">
        <f t="shared" si="16"/>
        <v>0.60982844467923825</v>
      </c>
      <c r="S89" s="56">
        <v>0</v>
      </c>
      <c r="T89" s="56">
        <f t="shared" si="17"/>
        <v>23</v>
      </c>
      <c r="U89" s="56">
        <v>9297992</v>
      </c>
      <c r="V89" s="70" t="s">
        <v>124</v>
      </c>
      <c r="W89" s="56" t="b">
        <v>0</v>
      </c>
      <c r="X89" s="71">
        <f t="shared" si="18"/>
        <v>0.60982844467923825</v>
      </c>
      <c r="Y89" s="71">
        <f t="shared" si="19"/>
        <v>0.59631578624718118</v>
      </c>
      <c r="Z89" s="61">
        <f t="shared" si="20"/>
        <v>23</v>
      </c>
      <c r="AA89" s="58">
        <v>0</v>
      </c>
      <c r="AB89" s="61" t="str">
        <f t="shared" si="23"/>
        <v>No</v>
      </c>
      <c r="AG89" s="56" t="b">
        <v>1</v>
      </c>
    </row>
    <row r="90" spans="1:33" x14ac:dyDescent="0.3">
      <c r="A90" s="3">
        <v>2020</v>
      </c>
      <c r="B90" s="67">
        <v>8102</v>
      </c>
      <c r="C90" s="52">
        <v>0.1075</v>
      </c>
      <c r="D90" s="56" t="s">
        <v>76</v>
      </c>
      <c r="E90" s="52">
        <f t="shared" si="21"/>
        <v>7.2499999999999995E-2</v>
      </c>
      <c r="F90" s="56">
        <f t="shared" si="15"/>
        <v>162</v>
      </c>
      <c r="G90" s="56">
        <v>136137.01</v>
      </c>
      <c r="H90" s="56">
        <v>11486656.619999999</v>
      </c>
      <c r="I90" s="56">
        <v>180</v>
      </c>
      <c r="J90" s="58">
        <v>43739</v>
      </c>
      <c r="K90" s="58">
        <v>43952</v>
      </c>
      <c r="L90" s="56">
        <v>16546436.57</v>
      </c>
      <c r="M90" s="66" t="s">
        <v>53</v>
      </c>
      <c r="N90" s="66" t="s">
        <v>53</v>
      </c>
      <c r="O90" s="56">
        <v>16199113</v>
      </c>
      <c r="P90" s="56">
        <v>9015775.0600000005</v>
      </c>
      <c r="Q90" s="68">
        <f t="shared" si="22"/>
        <v>0.70909170273705724</v>
      </c>
      <c r="R90" s="69">
        <f t="shared" si="16"/>
        <v>0.55655979805807887</v>
      </c>
      <c r="S90" s="56">
        <v>0</v>
      </c>
      <c r="T90" s="56">
        <f t="shared" si="17"/>
        <v>18</v>
      </c>
      <c r="U90" s="56">
        <v>16199113</v>
      </c>
      <c r="V90" s="70" t="s">
        <v>124</v>
      </c>
      <c r="W90" s="56" t="b">
        <v>0</v>
      </c>
      <c r="X90" s="71">
        <f t="shared" si="18"/>
        <v>0.55655979805807887</v>
      </c>
      <c r="Y90" s="71">
        <f t="shared" si="19"/>
        <v>0.70909170273705724</v>
      </c>
      <c r="Z90" s="61">
        <f t="shared" si="20"/>
        <v>18</v>
      </c>
      <c r="AA90" s="58">
        <v>0</v>
      </c>
      <c r="AB90" s="61" t="str">
        <f t="shared" si="23"/>
        <v>No</v>
      </c>
      <c r="AG90" s="56" t="b">
        <v>1</v>
      </c>
    </row>
    <row r="91" spans="1:33" x14ac:dyDescent="0.3">
      <c r="A91" s="3">
        <v>2021</v>
      </c>
      <c r="B91" s="67">
        <v>10172</v>
      </c>
      <c r="C91" s="52">
        <v>0.115</v>
      </c>
      <c r="D91" s="56" t="s">
        <v>76</v>
      </c>
      <c r="E91" s="52">
        <f t="shared" si="21"/>
        <v>0.08</v>
      </c>
      <c r="F91" s="56">
        <f t="shared" si="15"/>
        <v>161</v>
      </c>
      <c r="G91" s="56">
        <v>11425.31</v>
      </c>
      <c r="H91" s="56">
        <v>929028.86</v>
      </c>
      <c r="I91" s="56">
        <v>180</v>
      </c>
      <c r="J91" s="58">
        <v>43739</v>
      </c>
      <c r="K91" s="58">
        <v>43922</v>
      </c>
      <c r="L91" s="56">
        <v>934025</v>
      </c>
      <c r="M91" s="66" t="s">
        <v>53</v>
      </c>
      <c r="N91" s="66" t="s">
        <v>112</v>
      </c>
      <c r="O91" s="56">
        <v>1366540</v>
      </c>
      <c r="P91" s="56">
        <v>1034025</v>
      </c>
      <c r="Q91" s="68">
        <f t="shared" si="22"/>
        <v>0.67984022421590296</v>
      </c>
      <c r="R91" s="69">
        <f t="shared" si="16"/>
        <v>0.75667378927803064</v>
      </c>
      <c r="S91" s="56">
        <v>0</v>
      </c>
      <c r="T91" s="56">
        <f t="shared" si="17"/>
        <v>19</v>
      </c>
      <c r="U91" s="56">
        <v>1366540</v>
      </c>
      <c r="V91" s="70" t="s">
        <v>124</v>
      </c>
      <c r="W91" s="56" t="b">
        <v>0</v>
      </c>
      <c r="X91" s="71">
        <f t="shared" si="18"/>
        <v>0.75667378927803064</v>
      </c>
      <c r="Y91" s="71">
        <f t="shared" si="19"/>
        <v>0.67984022421590296</v>
      </c>
      <c r="Z91" s="61">
        <f t="shared" si="20"/>
        <v>19</v>
      </c>
      <c r="AA91" s="58">
        <v>0</v>
      </c>
      <c r="AB91" s="61" t="str">
        <f t="shared" si="23"/>
        <v>No</v>
      </c>
      <c r="AG91" s="56" t="b">
        <v>1</v>
      </c>
    </row>
    <row r="92" spans="1:33" x14ac:dyDescent="0.3">
      <c r="A92" s="3">
        <v>2027</v>
      </c>
      <c r="B92" s="67">
        <v>9274</v>
      </c>
      <c r="C92" s="52">
        <v>0.115</v>
      </c>
      <c r="D92" s="56" t="s">
        <v>76</v>
      </c>
      <c r="E92" s="52">
        <f t="shared" si="21"/>
        <v>0.08</v>
      </c>
      <c r="F92" s="56">
        <f t="shared" si="15"/>
        <v>172</v>
      </c>
      <c r="G92" s="56">
        <v>97476.45</v>
      </c>
      <c r="H92" s="56">
        <v>7926126.4800000004</v>
      </c>
      <c r="I92" s="56">
        <v>180</v>
      </c>
      <c r="J92" s="58">
        <v>43739</v>
      </c>
      <c r="K92" s="58">
        <v>44256</v>
      </c>
      <c r="L92" s="56">
        <v>7742034.1899999985</v>
      </c>
      <c r="M92" s="66" t="s">
        <v>67</v>
      </c>
      <c r="N92" s="66" t="s">
        <v>77</v>
      </c>
      <c r="O92" s="56">
        <v>11945588</v>
      </c>
      <c r="P92" s="56">
        <v>7436455</v>
      </c>
      <c r="Q92" s="68">
        <f t="shared" si="22"/>
        <v>0.61478703507278476</v>
      </c>
      <c r="R92" s="69">
        <f t="shared" si="16"/>
        <v>0.62252732975555491</v>
      </c>
      <c r="S92" s="56">
        <v>0</v>
      </c>
      <c r="T92" s="56">
        <f t="shared" si="17"/>
        <v>8</v>
      </c>
      <c r="U92" s="56">
        <v>12892475</v>
      </c>
      <c r="V92" s="70" t="s">
        <v>124</v>
      </c>
      <c r="W92" s="56" t="b">
        <v>0</v>
      </c>
      <c r="X92" s="71">
        <f t="shared" si="18"/>
        <v>0.62252732975555491</v>
      </c>
      <c r="Y92" s="71">
        <f t="shared" si="19"/>
        <v>0.61478703507278476</v>
      </c>
      <c r="Z92" s="61">
        <f t="shared" si="20"/>
        <v>8</v>
      </c>
      <c r="AA92" s="58">
        <v>44196</v>
      </c>
      <c r="AB92" s="61" t="str">
        <f t="shared" si="23"/>
        <v>No</v>
      </c>
      <c r="AG92" s="56" t="b">
        <v>1</v>
      </c>
    </row>
    <row r="93" spans="1:33" x14ac:dyDescent="0.3">
      <c r="A93" s="3">
        <v>2029</v>
      </c>
      <c r="B93" s="67">
        <v>0</v>
      </c>
      <c r="C93" s="52">
        <v>0.105</v>
      </c>
      <c r="D93" s="56" t="s">
        <v>76</v>
      </c>
      <c r="E93" s="52">
        <f t="shared" si="21"/>
        <v>6.9999999999999993E-2</v>
      </c>
      <c r="F93" s="56">
        <f t="shared" si="15"/>
        <v>158</v>
      </c>
      <c r="G93" s="56">
        <v>15395.17</v>
      </c>
      <c r="H93" s="56">
        <v>1315331.25</v>
      </c>
      <c r="I93" s="56">
        <v>180</v>
      </c>
      <c r="J93" s="58">
        <v>43770</v>
      </c>
      <c r="K93" s="58">
        <v>43831</v>
      </c>
      <c r="L93" s="56">
        <v>1154082.22</v>
      </c>
      <c r="M93" s="66" t="s">
        <v>53</v>
      </c>
      <c r="N93" s="66" t="s">
        <v>112</v>
      </c>
      <c r="O93" s="56">
        <v>1874303</v>
      </c>
      <c r="P93" s="56">
        <v>1341222</v>
      </c>
      <c r="Q93" s="68">
        <f t="shared" si="22"/>
        <v>0.70177087162534557</v>
      </c>
      <c r="R93" s="69">
        <f t="shared" si="16"/>
        <v>0.71558440657673816</v>
      </c>
      <c r="S93" s="56">
        <v>0</v>
      </c>
      <c r="T93" s="56">
        <f t="shared" si="17"/>
        <v>22</v>
      </c>
      <c r="U93" s="56">
        <v>1874303</v>
      </c>
      <c r="V93" s="70" t="s">
        <v>124</v>
      </c>
      <c r="W93" s="56" t="b">
        <v>0</v>
      </c>
      <c r="X93" s="71">
        <f t="shared" si="18"/>
        <v>0.71558440657673816</v>
      </c>
      <c r="Y93" s="71">
        <f t="shared" si="19"/>
        <v>0.70177087162534557</v>
      </c>
      <c r="Z93" s="61">
        <f t="shared" si="20"/>
        <v>22</v>
      </c>
      <c r="AA93" s="58">
        <v>0</v>
      </c>
      <c r="AB93" s="61" t="str">
        <f t="shared" si="23"/>
        <v>No</v>
      </c>
      <c r="AG93" s="56" t="b">
        <v>1</v>
      </c>
    </row>
    <row r="94" spans="1:33" x14ac:dyDescent="0.3">
      <c r="A94" s="3">
        <v>2030</v>
      </c>
      <c r="B94" s="67">
        <v>10354</v>
      </c>
      <c r="C94" s="52">
        <v>0.105</v>
      </c>
      <c r="D94" s="56" t="s">
        <v>76</v>
      </c>
      <c r="E94" s="52">
        <f t="shared" si="21"/>
        <v>6.9999999999999993E-2</v>
      </c>
      <c r="F94" s="56">
        <f t="shared" si="15"/>
        <v>160</v>
      </c>
      <c r="G94" s="56">
        <v>12599.7</v>
      </c>
      <c r="H94" s="56">
        <v>1079735.22</v>
      </c>
      <c r="I94" s="56">
        <v>180</v>
      </c>
      <c r="J94" s="58">
        <v>43770</v>
      </c>
      <c r="K94" s="58">
        <v>43891</v>
      </c>
      <c r="L94" s="56">
        <v>1129993</v>
      </c>
      <c r="M94" s="66" t="s">
        <v>53</v>
      </c>
      <c r="N94" s="66" t="s">
        <v>90</v>
      </c>
      <c r="O94" s="56">
        <v>1426531</v>
      </c>
      <c r="P94" s="56">
        <v>1129993</v>
      </c>
      <c r="Q94" s="68">
        <f t="shared" si="22"/>
        <v>0.75689572816854311</v>
      </c>
      <c r="R94" s="69">
        <f t="shared" si="16"/>
        <v>0.7921264942717684</v>
      </c>
      <c r="S94" s="56">
        <v>0</v>
      </c>
      <c r="T94" s="56">
        <f t="shared" si="17"/>
        <v>20</v>
      </c>
      <c r="U94" s="56">
        <v>1426531</v>
      </c>
      <c r="V94" s="70" t="s">
        <v>124</v>
      </c>
      <c r="W94" s="56" t="b">
        <v>0</v>
      </c>
      <c r="X94" s="71">
        <f t="shared" si="18"/>
        <v>0.7921264942717684</v>
      </c>
      <c r="Y94" s="71">
        <f t="shared" si="19"/>
        <v>0.75689572816854311</v>
      </c>
      <c r="Z94" s="61">
        <f t="shared" si="20"/>
        <v>20</v>
      </c>
      <c r="AA94" s="58">
        <v>0</v>
      </c>
      <c r="AB94" s="61" t="str">
        <f t="shared" si="23"/>
        <v>No</v>
      </c>
      <c r="AG94" s="56" t="b">
        <v>1</v>
      </c>
    </row>
    <row r="95" spans="1:33" x14ac:dyDescent="0.3">
      <c r="A95" s="3">
        <v>1882</v>
      </c>
      <c r="B95" s="67">
        <v>0</v>
      </c>
      <c r="C95" s="52">
        <v>0.105</v>
      </c>
      <c r="D95" s="56" t="s">
        <v>76</v>
      </c>
      <c r="E95" s="52">
        <f t="shared" si="21"/>
        <v>6.9999999999999993E-2</v>
      </c>
      <c r="F95" s="56">
        <f t="shared" si="15"/>
        <v>146</v>
      </c>
      <c r="G95" s="56">
        <v>15783.93</v>
      </c>
      <c r="H95" s="56">
        <v>1301649.04</v>
      </c>
      <c r="I95" s="56">
        <v>180</v>
      </c>
      <c r="J95" s="58">
        <v>43374</v>
      </c>
      <c r="K95" s="58">
        <v>43466</v>
      </c>
      <c r="L95" s="56">
        <v>1358871</v>
      </c>
      <c r="M95" s="66" t="s">
        <v>53</v>
      </c>
      <c r="N95" s="66" t="s">
        <v>53</v>
      </c>
      <c r="O95" s="56">
        <v>4016139</v>
      </c>
      <c r="P95" s="56">
        <v>2137436</v>
      </c>
      <c r="Q95" s="68">
        <f t="shared" si="22"/>
        <v>0.32377549393428867</v>
      </c>
      <c r="R95" s="69">
        <f t="shared" si="16"/>
        <v>0.53221165900881418</v>
      </c>
      <c r="S95" s="56">
        <v>0</v>
      </c>
      <c r="T95" s="56">
        <f t="shared" si="17"/>
        <v>34</v>
      </c>
      <c r="U95" s="56">
        <v>4020221</v>
      </c>
      <c r="V95" s="70" t="s">
        <v>124</v>
      </c>
      <c r="W95" s="56" t="b">
        <v>0</v>
      </c>
      <c r="X95" s="71">
        <f t="shared" si="18"/>
        <v>0.53221165900881418</v>
      </c>
      <c r="Y95" s="71">
        <f t="shared" si="19"/>
        <v>0.32377549393428867</v>
      </c>
      <c r="Z95" s="61">
        <f t="shared" si="20"/>
        <v>34</v>
      </c>
      <c r="AA95" s="58">
        <v>0</v>
      </c>
      <c r="AB95" s="61" t="str">
        <f t="shared" si="23"/>
        <v>No</v>
      </c>
      <c r="AG95" s="56" t="b">
        <v>1</v>
      </c>
    </row>
    <row r="96" spans="1:33" x14ac:dyDescent="0.3">
      <c r="A96" s="3">
        <v>2041</v>
      </c>
      <c r="B96" s="67">
        <v>10328</v>
      </c>
      <c r="C96" s="52">
        <v>0.10550000000000001</v>
      </c>
      <c r="D96" s="56" t="s">
        <v>98</v>
      </c>
      <c r="E96" s="52">
        <f t="shared" si="21"/>
        <v>6.8750000000000006E-2</v>
      </c>
      <c r="F96" s="56">
        <f t="shared" si="15"/>
        <v>158</v>
      </c>
      <c r="G96" s="56">
        <v>331029.34999999998</v>
      </c>
      <c r="H96" s="56">
        <v>28295445.309999999</v>
      </c>
      <c r="I96" s="56">
        <v>180</v>
      </c>
      <c r="J96" s="58">
        <v>43770</v>
      </c>
      <c r="K96" s="58">
        <v>43831</v>
      </c>
      <c r="L96" s="56">
        <v>29323138.440000001</v>
      </c>
      <c r="M96" s="66" t="s">
        <v>67</v>
      </c>
      <c r="N96" s="66" t="s">
        <v>67</v>
      </c>
      <c r="O96" s="56">
        <v>39106172</v>
      </c>
      <c r="P96" s="56">
        <v>24718680</v>
      </c>
      <c r="Q96" s="68">
        <f t="shared" si="22"/>
        <v>0.70240199356396904</v>
      </c>
      <c r="R96" s="69">
        <f t="shared" si="16"/>
        <v>0.63209152764939514</v>
      </c>
      <c r="S96" s="56">
        <v>0</v>
      </c>
      <c r="T96" s="56">
        <f t="shared" si="17"/>
        <v>22</v>
      </c>
      <c r="U96" s="56">
        <v>40283834</v>
      </c>
      <c r="V96" s="70" t="s">
        <v>124</v>
      </c>
      <c r="W96" s="56" t="b">
        <v>0</v>
      </c>
      <c r="X96" s="71">
        <f t="shared" si="18"/>
        <v>0.63209152764939514</v>
      </c>
      <c r="Y96" s="71">
        <f t="shared" si="19"/>
        <v>0.70240199356396904</v>
      </c>
      <c r="Z96" s="61">
        <f t="shared" si="20"/>
        <v>22</v>
      </c>
      <c r="AA96" s="58">
        <v>0</v>
      </c>
      <c r="AB96" s="61" t="str">
        <f t="shared" si="23"/>
        <v>No</v>
      </c>
      <c r="AG96" s="56" t="b">
        <v>1</v>
      </c>
    </row>
    <row r="97" spans="1:33" x14ac:dyDescent="0.3">
      <c r="A97" s="3">
        <v>2044</v>
      </c>
      <c r="B97" s="67">
        <v>10197</v>
      </c>
      <c r="C97" s="52">
        <v>0.1075</v>
      </c>
      <c r="D97" s="56" t="s">
        <v>76</v>
      </c>
      <c r="E97" s="52">
        <f t="shared" si="21"/>
        <v>7.2499999999999995E-2</v>
      </c>
      <c r="F97" s="56">
        <f t="shared" si="15"/>
        <v>159</v>
      </c>
      <c r="G97" s="56">
        <v>11160.31</v>
      </c>
      <c r="H97" s="56">
        <v>976771.93</v>
      </c>
      <c r="I97" s="56">
        <v>180</v>
      </c>
      <c r="J97" s="58">
        <v>43770</v>
      </c>
      <c r="K97" s="58">
        <v>43862</v>
      </c>
      <c r="L97" s="56">
        <v>659511</v>
      </c>
      <c r="M97" s="66" t="s">
        <v>53</v>
      </c>
      <c r="N97" s="66" t="s">
        <v>102</v>
      </c>
      <c r="O97" s="56">
        <v>1779030</v>
      </c>
      <c r="P97" s="56">
        <v>996871</v>
      </c>
      <c r="Q97" s="68">
        <f t="shared" si="22"/>
        <v>0.54904747530957887</v>
      </c>
      <c r="R97" s="69">
        <f t="shared" si="16"/>
        <v>0.56034524431853316</v>
      </c>
      <c r="S97" s="56">
        <v>0</v>
      </c>
      <c r="T97" s="56">
        <f t="shared" si="17"/>
        <v>21</v>
      </c>
      <c r="U97" s="56">
        <v>1779030</v>
      </c>
      <c r="V97" s="70" t="s">
        <v>124</v>
      </c>
      <c r="W97" s="56" t="b">
        <v>0</v>
      </c>
      <c r="X97" s="71">
        <f t="shared" si="18"/>
        <v>0.56034524431853316</v>
      </c>
      <c r="Y97" s="71">
        <f t="shared" si="19"/>
        <v>0.54904747530957887</v>
      </c>
      <c r="Z97" s="61">
        <f t="shared" si="20"/>
        <v>21</v>
      </c>
      <c r="AA97" s="58">
        <v>0</v>
      </c>
      <c r="AB97" s="61" t="str">
        <f t="shared" si="23"/>
        <v>No</v>
      </c>
      <c r="AG97" s="56" t="b">
        <v>1</v>
      </c>
    </row>
    <row r="98" spans="1:33" x14ac:dyDescent="0.3">
      <c r="A98" s="3">
        <v>2047</v>
      </c>
      <c r="B98" s="67">
        <v>10386</v>
      </c>
      <c r="C98" s="52">
        <v>0.105</v>
      </c>
      <c r="D98" s="56" t="s">
        <v>76</v>
      </c>
      <c r="E98" s="52">
        <f t="shared" si="21"/>
        <v>6.9999999999999993E-2</v>
      </c>
      <c r="F98" s="56">
        <f t="shared" si="15"/>
        <v>162</v>
      </c>
      <c r="G98" s="56">
        <v>47027.39</v>
      </c>
      <c r="H98" s="56">
        <v>3365425.08</v>
      </c>
      <c r="I98" s="56">
        <v>180</v>
      </c>
      <c r="J98" s="58">
        <v>43800</v>
      </c>
      <c r="K98" s="58">
        <v>43952</v>
      </c>
      <c r="L98" s="56">
        <v>3375764</v>
      </c>
      <c r="M98" s="66" t="s">
        <v>64</v>
      </c>
      <c r="N98" s="66" t="s">
        <v>64</v>
      </c>
      <c r="O98" s="56">
        <v>6401352.96</v>
      </c>
      <c r="P98" s="56">
        <v>3506866</v>
      </c>
      <c r="Q98" s="68">
        <f t="shared" si="22"/>
        <v>0.52573652804797066</v>
      </c>
      <c r="R98" s="69">
        <f t="shared" si="16"/>
        <v>0.5478320008150277</v>
      </c>
      <c r="S98" s="56">
        <v>0</v>
      </c>
      <c r="T98" s="56">
        <f t="shared" si="17"/>
        <v>18</v>
      </c>
      <c r="U98" s="56">
        <v>6401352.96</v>
      </c>
      <c r="V98" s="70" t="s">
        <v>124</v>
      </c>
      <c r="W98" s="56" t="b">
        <v>0</v>
      </c>
      <c r="X98" s="71">
        <f t="shared" si="18"/>
        <v>0.5478320008150277</v>
      </c>
      <c r="Y98" s="71">
        <f t="shared" si="19"/>
        <v>0.52573652804797066</v>
      </c>
      <c r="Z98" s="61">
        <f t="shared" si="20"/>
        <v>18</v>
      </c>
      <c r="AA98" s="58">
        <v>0</v>
      </c>
      <c r="AB98" s="61" t="str">
        <f t="shared" si="23"/>
        <v>No</v>
      </c>
      <c r="AG98" s="56" t="b">
        <v>1</v>
      </c>
    </row>
    <row r="99" spans="1:33" x14ac:dyDescent="0.3">
      <c r="A99" s="3">
        <v>2049</v>
      </c>
      <c r="B99" s="67">
        <v>10235</v>
      </c>
      <c r="C99" s="52">
        <v>9.8000000000000004E-2</v>
      </c>
      <c r="D99" s="56" t="s">
        <v>98</v>
      </c>
      <c r="E99" s="52">
        <f t="shared" si="21"/>
        <v>6.1250000000000006E-2</v>
      </c>
      <c r="F99" s="56">
        <f t="shared" ref="F99:F113" si="24">I99-T99</f>
        <v>159</v>
      </c>
      <c r="G99" s="56">
        <v>534791.68000000005</v>
      </c>
      <c r="H99" s="56">
        <v>47634430.009999998</v>
      </c>
      <c r="I99" s="56">
        <v>180</v>
      </c>
      <c r="J99" s="58">
        <v>43800</v>
      </c>
      <c r="K99" s="58">
        <v>43862</v>
      </c>
      <c r="L99" s="56">
        <v>49782629</v>
      </c>
      <c r="M99" s="66" t="s">
        <v>67</v>
      </c>
      <c r="N99" s="66" t="s">
        <v>113</v>
      </c>
      <c r="O99" s="56">
        <v>68314801</v>
      </c>
      <c r="P99" s="56">
        <v>41861620</v>
      </c>
      <c r="Q99" s="68">
        <f t="shared" si="22"/>
        <v>0.69566125785209565</v>
      </c>
      <c r="R99" s="69">
        <f t="shared" ref="R99:R113" si="25">P99/O99</f>
        <v>0.61277526081061118</v>
      </c>
      <c r="S99" s="56">
        <v>0</v>
      </c>
      <c r="T99" s="56">
        <f t="shared" ref="T99:T113" si="26">+DATEDIF(EOMONTH($K99,-1),$Z$1+1,"M")</f>
        <v>21</v>
      </c>
      <c r="U99" s="56">
        <v>68473599</v>
      </c>
      <c r="V99" s="70" t="s">
        <v>124</v>
      </c>
      <c r="W99" s="56" t="b">
        <v>0</v>
      </c>
      <c r="X99" s="71">
        <f t="shared" ref="X99:X113" si="27">+P99/O99</f>
        <v>0.61277526081061118</v>
      </c>
      <c r="Y99" s="71">
        <f t="shared" ref="Y99:Y113" si="28">+H99/U99</f>
        <v>0.69566125785209565</v>
      </c>
      <c r="Z99" s="61">
        <f t="shared" ref="Z99:Z113" si="29">+DATEDIF(EOMONTH(K99,-1),$Z$1+1,"M")</f>
        <v>21</v>
      </c>
      <c r="AA99" s="58">
        <v>0</v>
      </c>
      <c r="AB99" s="61" t="str">
        <f t="shared" si="23"/>
        <v>No</v>
      </c>
      <c r="AG99" s="56" t="b">
        <v>1</v>
      </c>
    </row>
    <row r="100" spans="1:33" x14ac:dyDescent="0.3">
      <c r="A100" s="3">
        <v>2050</v>
      </c>
      <c r="B100" s="67">
        <v>10371</v>
      </c>
      <c r="C100" s="52">
        <v>0.1</v>
      </c>
      <c r="D100" s="56" t="s">
        <v>76</v>
      </c>
      <c r="E100" s="52">
        <f t="shared" si="21"/>
        <v>6.5000000000000002E-2</v>
      </c>
      <c r="F100" s="56">
        <f t="shared" si="24"/>
        <v>159</v>
      </c>
      <c r="G100" s="56">
        <v>30358.9</v>
      </c>
      <c r="H100" s="56">
        <v>2676489.375</v>
      </c>
      <c r="I100" s="56">
        <v>180</v>
      </c>
      <c r="J100" s="58">
        <v>43800</v>
      </c>
      <c r="K100" s="58">
        <v>43862</v>
      </c>
      <c r="L100" s="56">
        <v>2718563</v>
      </c>
      <c r="M100" s="66" t="s">
        <v>71</v>
      </c>
      <c r="N100" s="66" t="s">
        <v>81</v>
      </c>
      <c r="O100" s="56">
        <v>4487366</v>
      </c>
      <c r="P100" s="56">
        <v>2718563</v>
      </c>
      <c r="Q100" s="68">
        <f t="shared" si="22"/>
        <v>0.59644998313041553</v>
      </c>
      <c r="R100" s="69">
        <f t="shared" si="25"/>
        <v>0.6058260012666673</v>
      </c>
      <c r="S100" s="56">
        <v>0</v>
      </c>
      <c r="T100" s="56">
        <f t="shared" si="26"/>
        <v>21</v>
      </c>
      <c r="U100" s="56">
        <v>4487366</v>
      </c>
      <c r="V100" s="70" t="s">
        <v>124</v>
      </c>
      <c r="W100" s="56" t="b">
        <v>0</v>
      </c>
      <c r="X100" s="71">
        <f t="shared" si="27"/>
        <v>0.6058260012666673</v>
      </c>
      <c r="Y100" s="71">
        <f t="shared" si="28"/>
        <v>0.59644998313041553</v>
      </c>
      <c r="Z100" s="61">
        <f t="shared" si="29"/>
        <v>21</v>
      </c>
      <c r="AA100" s="58">
        <v>0</v>
      </c>
      <c r="AB100" s="61" t="str">
        <f t="shared" si="23"/>
        <v>No</v>
      </c>
      <c r="AG100" s="56" t="b">
        <v>1</v>
      </c>
    </row>
    <row r="101" spans="1:33" x14ac:dyDescent="0.3">
      <c r="A101" s="3">
        <v>1711</v>
      </c>
      <c r="B101" s="67">
        <v>9515</v>
      </c>
      <c r="C101" s="52">
        <v>0.10249999999999999</v>
      </c>
      <c r="D101" s="56" t="s">
        <v>76</v>
      </c>
      <c r="E101" s="52">
        <f t="shared" si="21"/>
        <v>6.7499999999999991E-2</v>
      </c>
      <c r="F101" s="56">
        <f t="shared" si="24"/>
        <v>139</v>
      </c>
      <c r="G101" s="56">
        <v>231203.76</v>
      </c>
      <c r="H101" s="56">
        <v>18139058.120000001</v>
      </c>
      <c r="I101" s="56">
        <v>180</v>
      </c>
      <c r="J101" s="58">
        <v>42917</v>
      </c>
      <c r="K101" s="58">
        <v>43252</v>
      </c>
      <c r="L101" s="56">
        <v>18709241.899999999</v>
      </c>
      <c r="M101" s="66" t="s">
        <v>53</v>
      </c>
      <c r="N101" s="66" t="s">
        <v>91</v>
      </c>
      <c r="O101" s="56">
        <v>24629094.690000001</v>
      </c>
      <c r="P101" s="56">
        <v>16129676</v>
      </c>
      <c r="Q101" s="68">
        <f t="shared" si="22"/>
        <v>0.71382706495825154</v>
      </c>
      <c r="R101" s="69">
        <f t="shared" si="25"/>
        <v>0.65490332482862357</v>
      </c>
      <c r="S101" s="56">
        <v>0</v>
      </c>
      <c r="T101" s="56">
        <f t="shared" si="26"/>
        <v>41</v>
      </c>
      <c r="U101" s="56">
        <v>25410998</v>
      </c>
      <c r="V101" s="70" t="s">
        <v>124</v>
      </c>
      <c r="W101" s="56" t="b">
        <v>0</v>
      </c>
      <c r="X101" s="71">
        <f t="shared" si="27"/>
        <v>0.65490332482862357</v>
      </c>
      <c r="Y101" s="71">
        <f t="shared" si="28"/>
        <v>0.71382706495825154</v>
      </c>
      <c r="Z101" s="61">
        <f t="shared" si="29"/>
        <v>41</v>
      </c>
      <c r="AA101" s="58">
        <v>0</v>
      </c>
      <c r="AB101" s="61" t="str">
        <f t="shared" si="23"/>
        <v>No</v>
      </c>
      <c r="AG101" s="56" t="b">
        <v>1</v>
      </c>
    </row>
    <row r="102" spans="1:33" ht="13.2" customHeight="1" x14ac:dyDescent="0.3">
      <c r="A102" s="3">
        <v>1840</v>
      </c>
      <c r="B102" s="67">
        <v>9846</v>
      </c>
      <c r="C102" s="52">
        <v>0.105</v>
      </c>
      <c r="D102" s="56" t="s">
        <v>76</v>
      </c>
      <c r="E102" s="52">
        <f t="shared" si="21"/>
        <v>6.9999999999999993E-2</v>
      </c>
      <c r="F102" s="56">
        <f t="shared" si="24"/>
        <v>148</v>
      </c>
      <c r="G102" s="56">
        <v>75430.97</v>
      </c>
      <c r="H102" s="56">
        <v>6133731.6299999999</v>
      </c>
      <c r="I102" s="56">
        <v>180</v>
      </c>
      <c r="J102" s="58">
        <v>43282</v>
      </c>
      <c r="K102" s="58">
        <v>43525</v>
      </c>
      <c r="L102" s="56">
        <v>6126305</v>
      </c>
      <c r="M102" s="66" t="s">
        <v>53</v>
      </c>
      <c r="N102" s="66" t="s">
        <v>80</v>
      </c>
      <c r="O102" s="56">
        <v>11619342.98</v>
      </c>
      <c r="P102" s="56">
        <v>6441561</v>
      </c>
      <c r="Q102" s="68">
        <f t="shared" si="22"/>
        <v>0.52788971291731335</v>
      </c>
      <c r="R102" s="69">
        <f t="shared" si="25"/>
        <v>0.55438255081097532</v>
      </c>
      <c r="S102" s="56">
        <v>0</v>
      </c>
      <c r="T102" s="56">
        <f t="shared" si="26"/>
        <v>32</v>
      </c>
      <c r="U102" s="56">
        <v>11619342.98</v>
      </c>
      <c r="V102" s="70" t="s">
        <v>124</v>
      </c>
      <c r="W102" s="56" t="b">
        <v>0</v>
      </c>
      <c r="X102" s="71">
        <f t="shared" si="27"/>
        <v>0.55438255081097532</v>
      </c>
      <c r="Y102" s="71">
        <f t="shared" si="28"/>
        <v>0.52788971291731335</v>
      </c>
      <c r="Z102" s="61">
        <f t="shared" si="29"/>
        <v>32</v>
      </c>
      <c r="AA102" s="58">
        <v>0</v>
      </c>
      <c r="AB102" s="61" t="str">
        <f t="shared" si="23"/>
        <v>No</v>
      </c>
      <c r="AG102" s="56" t="b">
        <v>1</v>
      </c>
    </row>
    <row r="103" spans="1:33" ht="13.2" customHeight="1" x14ac:dyDescent="0.3">
      <c r="A103" s="3">
        <v>2116</v>
      </c>
      <c r="B103" s="67">
        <v>9377</v>
      </c>
      <c r="C103" s="52">
        <v>0.105</v>
      </c>
      <c r="D103" s="56" t="s">
        <v>76</v>
      </c>
      <c r="E103" s="52">
        <f t="shared" si="21"/>
        <v>6.9999999999999993E-2</v>
      </c>
      <c r="F103" s="56">
        <f t="shared" si="24"/>
        <v>173</v>
      </c>
      <c r="G103" s="56">
        <v>32486.48</v>
      </c>
      <c r="H103" s="56">
        <v>2499891.89</v>
      </c>
      <c r="I103" s="56">
        <v>180</v>
      </c>
      <c r="J103" s="58">
        <v>44228</v>
      </c>
      <c r="K103" s="58">
        <v>44287</v>
      </c>
      <c r="L103" s="56">
        <v>2596609.65</v>
      </c>
      <c r="M103" s="66" t="s">
        <v>75</v>
      </c>
      <c r="N103" s="66" t="s">
        <v>114</v>
      </c>
      <c r="O103" s="56">
        <v>4928599</v>
      </c>
      <c r="P103" s="56">
        <v>2719813</v>
      </c>
      <c r="Q103" s="68">
        <f t="shared" si="22"/>
        <v>0.50722160394870841</v>
      </c>
      <c r="R103" s="69">
        <f t="shared" si="25"/>
        <v>0.55184302882015757</v>
      </c>
      <c r="S103" s="56">
        <v>0</v>
      </c>
      <c r="T103" s="56">
        <f t="shared" si="26"/>
        <v>7</v>
      </c>
      <c r="U103" s="56">
        <v>4928599</v>
      </c>
      <c r="V103" s="70" t="s">
        <v>124</v>
      </c>
      <c r="W103" s="56" t="b">
        <v>0</v>
      </c>
      <c r="X103" s="71">
        <f t="shared" si="27"/>
        <v>0.55184302882015757</v>
      </c>
      <c r="Y103" s="71">
        <f t="shared" si="28"/>
        <v>0.50722160394870841</v>
      </c>
      <c r="Z103" s="61">
        <f t="shared" si="29"/>
        <v>7</v>
      </c>
      <c r="AA103" s="58">
        <v>0</v>
      </c>
      <c r="AB103" s="61" t="str">
        <f t="shared" si="23"/>
        <v>No</v>
      </c>
      <c r="AG103" s="56" t="b">
        <v>1</v>
      </c>
    </row>
    <row r="104" spans="1:33" x14ac:dyDescent="0.3">
      <c r="A104" s="3">
        <v>1870</v>
      </c>
      <c r="B104" s="67">
        <v>8798</v>
      </c>
      <c r="C104" s="52">
        <v>0.105</v>
      </c>
      <c r="D104" s="56" t="s">
        <v>76</v>
      </c>
      <c r="E104" s="52">
        <f t="shared" si="21"/>
        <v>6.9999999999999993E-2</v>
      </c>
      <c r="F104" s="56">
        <f t="shared" si="24"/>
        <v>147</v>
      </c>
      <c r="G104" s="56">
        <v>126048.71</v>
      </c>
      <c r="H104" s="56">
        <v>10322847.810000001</v>
      </c>
      <c r="I104" s="56">
        <v>180</v>
      </c>
      <c r="J104" s="58">
        <v>43344</v>
      </c>
      <c r="K104" s="58">
        <v>43497</v>
      </c>
      <c r="L104" s="56">
        <v>10328750</v>
      </c>
      <c r="M104" s="66" t="s">
        <v>53</v>
      </c>
      <c r="N104" s="66" t="s">
        <v>53</v>
      </c>
      <c r="O104" s="56">
        <v>19482440</v>
      </c>
      <c r="P104" s="56">
        <v>11400204</v>
      </c>
      <c r="Q104" s="68">
        <f t="shared" si="22"/>
        <v>0.55621863869098376</v>
      </c>
      <c r="R104" s="69">
        <f t="shared" si="25"/>
        <v>0.58515278373756063</v>
      </c>
      <c r="S104" s="56">
        <v>0</v>
      </c>
      <c r="T104" s="56">
        <f t="shared" si="26"/>
        <v>33</v>
      </c>
      <c r="U104" s="56">
        <v>18558975</v>
      </c>
      <c r="V104" s="70" t="s">
        <v>124</v>
      </c>
      <c r="W104" s="56" t="b">
        <v>0</v>
      </c>
      <c r="X104" s="71">
        <f t="shared" si="27"/>
        <v>0.58515278373756063</v>
      </c>
      <c r="Y104" s="71">
        <f t="shared" si="28"/>
        <v>0.55621863869098376</v>
      </c>
      <c r="Z104" s="61">
        <f t="shared" si="29"/>
        <v>33</v>
      </c>
      <c r="AA104" s="58">
        <v>44286</v>
      </c>
      <c r="AB104" s="61" t="str">
        <f t="shared" si="23"/>
        <v>No</v>
      </c>
      <c r="AG104" s="56" t="b">
        <v>1</v>
      </c>
    </row>
    <row r="105" spans="1:33" x14ac:dyDescent="0.3">
      <c r="A105" s="3">
        <v>2092</v>
      </c>
      <c r="B105" s="67">
        <v>10460</v>
      </c>
      <c r="C105" s="52">
        <v>0.105</v>
      </c>
      <c r="D105" s="56" t="s">
        <v>76</v>
      </c>
      <c r="E105" s="52">
        <f t="shared" si="21"/>
        <v>6.9999999999999993E-2</v>
      </c>
      <c r="F105" s="56">
        <f t="shared" si="24"/>
        <v>175</v>
      </c>
      <c r="G105" s="56">
        <v>95024.84</v>
      </c>
      <c r="H105" s="56">
        <v>8374874.5999999996</v>
      </c>
      <c r="I105" s="56">
        <v>180</v>
      </c>
      <c r="J105" s="58">
        <v>44075</v>
      </c>
      <c r="K105" s="58">
        <v>44348</v>
      </c>
      <c r="L105" s="56">
        <v>7989901.4299999997</v>
      </c>
      <c r="M105" s="66" t="s">
        <v>65</v>
      </c>
      <c r="N105" s="66" t="s">
        <v>64</v>
      </c>
      <c r="O105" s="56">
        <v>13805405.060000001</v>
      </c>
      <c r="P105" s="56">
        <v>8104047</v>
      </c>
      <c r="Q105" s="68">
        <f t="shared" si="22"/>
        <v>0.60663736874084873</v>
      </c>
      <c r="R105" s="69">
        <f t="shared" si="25"/>
        <v>0.58701986394305761</v>
      </c>
      <c r="S105" s="56">
        <v>0</v>
      </c>
      <c r="T105" s="56">
        <f t="shared" si="26"/>
        <v>5</v>
      </c>
      <c r="U105" s="56">
        <v>13805405.060000001</v>
      </c>
      <c r="V105" s="70" t="s">
        <v>124</v>
      </c>
      <c r="W105" s="56" t="b">
        <v>0</v>
      </c>
      <c r="X105" s="71">
        <f t="shared" si="27"/>
        <v>0.58701986394305761</v>
      </c>
      <c r="Y105" s="71">
        <f t="shared" si="28"/>
        <v>0.60663736874084873</v>
      </c>
      <c r="Z105" s="61">
        <f t="shared" si="29"/>
        <v>5</v>
      </c>
      <c r="AA105" s="58">
        <v>0</v>
      </c>
      <c r="AB105" s="61" t="str">
        <f t="shared" si="23"/>
        <v>No</v>
      </c>
      <c r="AG105" s="56" t="b">
        <v>1</v>
      </c>
    </row>
    <row r="106" spans="1:33" x14ac:dyDescent="0.3">
      <c r="A106" s="3">
        <v>2057</v>
      </c>
      <c r="B106" s="67">
        <v>10271</v>
      </c>
      <c r="C106" s="52">
        <v>0.1</v>
      </c>
      <c r="D106" s="56" t="s">
        <v>76</v>
      </c>
      <c r="E106" s="52">
        <f t="shared" si="21"/>
        <v>6.5000000000000002E-2</v>
      </c>
      <c r="F106" s="56">
        <f t="shared" si="24"/>
        <v>160</v>
      </c>
      <c r="G106" s="56">
        <v>197428.96</v>
      </c>
      <c r="H106" s="56">
        <v>17458916.780000001</v>
      </c>
      <c r="I106" s="56">
        <v>180</v>
      </c>
      <c r="J106" s="58">
        <v>43831</v>
      </c>
      <c r="K106" s="58">
        <v>43891</v>
      </c>
      <c r="L106" s="56">
        <v>18365099.719999999</v>
      </c>
      <c r="M106" s="66" t="s">
        <v>53</v>
      </c>
      <c r="N106" s="66" t="s">
        <v>91</v>
      </c>
      <c r="O106" s="56">
        <v>26429383</v>
      </c>
      <c r="P106" s="56">
        <v>18365100</v>
      </c>
      <c r="Q106" s="68">
        <f t="shared" si="22"/>
        <v>0.66110421904016448</v>
      </c>
      <c r="R106" s="69">
        <f t="shared" si="25"/>
        <v>0.6948743373994013</v>
      </c>
      <c r="S106" s="56">
        <v>0</v>
      </c>
      <c r="T106" s="56">
        <f t="shared" si="26"/>
        <v>20</v>
      </c>
      <c r="U106" s="56">
        <v>26408720.859999999</v>
      </c>
      <c r="V106" s="70" t="s">
        <v>124</v>
      </c>
      <c r="W106" s="56" t="b">
        <v>0</v>
      </c>
      <c r="X106" s="71">
        <f t="shared" si="27"/>
        <v>0.6948743373994013</v>
      </c>
      <c r="Y106" s="71">
        <f t="shared" si="28"/>
        <v>0.66110421904016448</v>
      </c>
      <c r="Z106" s="61">
        <f t="shared" si="29"/>
        <v>20</v>
      </c>
      <c r="AA106" s="58">
        <v>44043</v>
      </c>
      <c r="AB106" s="61" t="str">
        <f t="shared" si="23"/>
        <v>No</v>
      </c>
      <c r="AG106" s="56" t="b">
        <v>1</v>
      </c>
    </row>
    <row r="107" spans="1:33" x14ac:dyDescent="0.3">
      <c r="A107" s="3">
        <v>2059</v>
      </c>
      <c r="B107" s="67">
        <v>9807</v>
      </c>
      <c r="C107" s="52">
        <v>0.105</v>
      </c>
      <c r="D107" s="56" t="s">
        <v>76</v>
      </c>
      <c r="E107" s="52">
        <f t="shared" si="21"/>
        <v>6.9999999999999993E-2</v>
      </c>
      <c r="F107" s="56">
        <f t="shared" si="24"/>
        <v>160</v>
      </c>
      <c r="G107" s="56">
        <v>17165.79</v>
      </c>
      <c r="H107" s="56">
        <v>1479680.72</v>
      </c>
      <c r="I107" s="56">
        <v>180</v>
      </c>
      <c r="J107" s="58">
        <v>43831</v>
      </c>
      <c r="K107" s="58">
        <v>43891</v>
      </c>
      <c r="L107" s="56">
        <v>1510374.82</v>
      </c>
      <c r="M107" s="66" t="s">
        <v>53</v>
      </c>
      <c r="N107" s="66" t="s">
        <v>90</v>
      </c>
      <c r="O107" s="56">
        <v>2703674</v>
      </c>
      <c r="P107" s="56">
        <v>1530384</v>
      </c>
      <c r="Q107" s="68">
        <f t="shared" si="22"/>
        <v>0.54728518305091511</v>
      </c>
      <c r="R107" s="69">
        <f t="shared" si="25"/>
        <v>0.5660386570274375</v>
      </c>
      <c r="S107" s="56">
        <v>0</v>
      </c>
      <c r="T107" s="56">
        <f t="shared" si="26"/>
        <v>20</v>
      </c>
      <c r="U107" s="56">
        <v>2703674</v>
      </c>
      <c r="V107" s="70" t="s">
        <v>124</v>
      </c>
      <c r="W107" s="56" t="b">
        <v>0</v>
      </c>
      <c r="X107" s="71">
        <f t="shared" si="27"/>
        <v>0.5660386570274375</v>
      </c>
      <c r="Y107" s="71">
        <f t="shared" si="28"/>
        <v>0.54728518305091511</v>
      </c>
      <c r="Z107" s="61">
        <f t="shared" si="29"/>
        <v>20</v>
      </c>
      <c r="AA107" s="58">
        <v>0</v>
      </c>
      <c r="AB107" s="61" t="str">
        <f t="shared" si="23"/>
        <v>No</v>
      </c>
      <c r="AG107" s="56" t="b">
        <v>1</v>
      </c>
    </row>
    <row r="108" spans="1:33" x14ac:dyDescent="0.3">
      <c r="A108" s="3">
        <v>2024</v>
      </c>
      <c r="B108" s="67">
        <v>10369</v>
      </c>
      <c r="C108" s="52">
        <v>0.105</v>
      </c>
      <c r="D108" s="56" t="s">
        <v>76</v>
      </c>
      <c r="E108" s="52">
        <f t="shared" si="21"/>
        <v>6.9999999999999993E-2</v>
      </c>
      <c r="F108" s="56">
        <f t="shared" si="24"/>
        <v>163</v>
      </c>
      <c r="G108" s="56">
        <v>11500.48</v>
      </c>
      <c r="H108" s="56">
        <v>985514.33</v>
      </c>
      <c r="I108" s="56">
        <v>180</v>
      </c>
      <c r="J108" s="58">
        <v>43739</v>
      </c>
      <c r="K108" s="58">
        <v>43983</v>
      </c>
      <c r="L108" s="56">
        <v>953266.07</v>
      </c>
      <c r="M108" s="66" t="s">
        <v>53</v>
      </c>
      <c r="N108" s="66" t="s">
        <v>95</v>
      </c>
      <c r="O108" s="56">
        <v>1242778</v>
      </c>
      <c r="P108" s="56">
        <v>997236</v>
      </c>
      <c r="Q108" s="68">
        <f t="shared" si="22"/>
        <v>0.79299306070754383</v>
      </c>
      <c r="R108" s="69">
        <f t="shared" si="25"/>
        <v>0.80242489004472239</v>
      </c>
      <c r="S108" s="56">
        <v>0</v>
      </c>
      <c r="T108" s="56">
        <f t="shared" si="26"/>
        <v>17</v>
      </c>
      <c r="U108" s="56">
        <v>1242778</v>
      </c>
      <c r="V108" s="70" t="s">
        <v>124</v>
      </c>
      <c r="W108" s="56" t="b">
        <v>0</v>
      </c>
      <c r="X108" s="71">
        <f t="shared" si="27"/>
        <v>0.80242489004472239</v>
      </c>
      <c r="Y108" s="71">
        <f t="shared" si="28"/>
        <v>0.79299306070754383</v>
      </c>
      <c r="Z108" s="61">
        <f t="shared" si="29"/>
        <v>17</v>
      </c>
      <c r="AA108" s="58">
        <v>0</v>
      </c>
      <c r="AB108" s="61" t="str">
        <f t="shared" si="23"/>
        <v>No</v>
      </c>
      <c r="AG108" s="56" t="b">
        <v>1</v>
      </c>
    </row>
    <row r="109" spans="1:33" x14ac:dyDescent="0.3">
      <c r="A109" s="3">
        <v>2065</v>
      </c>
      <c r="B109" s="67">
        <v>10424</v>
      </c>
      <c r="C109" s="52">
        <v>9.7500000000000003E-2</v>
      </c>
      <c r="D109" s="56" t="s">
        <v>76</v>
      </c>
      <c r="E109" s="52">
        <f t="shared" si="21"/>
        <v>6.25E-2</v>
      </c>
      <c r="F109" s="56">
        <f t="shared" si="24"/>
        <v>164</v>
      </c>
      <c r="G109" s="56">
        <v>74795.960000000006</v>
      </c>
      <c r="H109" s="56">
        <v>6720967.9900000002</v>
      </c>
      <c r="I109" s="56">
        <v>180</v>
      </c>
      <c r="J109" s="58">
        <v>43862</v>
      </c>
      <c r="K109" s="58">
        <v>44013</v>
      </c>
      <c r="L109" s="56">
        <v>6803393</v>
      </c>
      <c r="M109" s="66" t="s">
        <v>67</v>
      </c>
      <c r="N109" s="66" t="s">
        <v>115</v>
      </c>
      <c r="O109" s="56">
        <v>13390636</v>
      </c>
      <c r="P109" s="56">
        <v>6947056</v>
      </c>
      <c r="Q109" s="68">
        <f t="shared" si="22"/>
        <v>0.50191551693287761</v>
      </c>
      <c r="R109" s="69">
        <f t="shared" si="25"/>
        <v>0.51879955515182397</v>
      </c>
      <c r="S109" s="56">
        <v>0</v>
      </c>
      <c r="T109" s="56">
        <f t="shared" si="26"/>
        <v>16</v>
      </c>
      <c r="U109" s="56">
        <v>13390636</v>
      </c>
      <c r="V109" s="70" t="s">
        <v>124</v>
      </c>
      <c r="W109" s="56" t="b">
        <v>0</v>
      </c>
      <c r="X109" s="71">
        <f t="shared" si="27"/>
        <v>0.51879955515182397</v>
      </c>
      <c r="Y109" s="71">
        <f t="shared" si="28"/>
        <v>0.50191551693287761</v>
      </c>
      <c r="Z109" s="61">
        <f t="shared" si="29"/>
        <v>16</v>
      </c>
      <c r="AA109" s="58">
        <v>0</v>
      </c>
      <c r="AB109" s="61" t="str">
        <f t="shared" si="23"/>
        <v>No</v>
      </c>
      <c r="AG109" s="56" t="b">
        <v>1</v>
      </c>
    </row>
    <row r="110" spans="1:33" x14ac:dyDescent="0.3">
      <c r="A110" s="3">
        <v>2069</v>
      </c>
      <c r="B110" s="67">
        <v>10233</v>
      </c>
      <c r="C110" s="52">
        <v>0.1</v>
      </c>
      <c r="D110" s="56" t="s">
        <v>76</v>
      </c>
      <c r="E110" s="52">
        <f t="shared" si="21"/>
        <v>6.5000000000000002E-2</v>
      </c>
      <c r="F110" s="56">
        <f t="shared" si="24"/>
        <v>164</v>
      </c>
      <c r="G110" s="56">
        <v>35138.57</v>
      </c>
      <c r="H110" s="56">
        <v>3125969.05</v>
      </c>
      <c r="I110" s="56">
        <v>180</v>
      </c>
      <c r="J110" s="58">
        <v>43891</v>
      </c>
      <c r="K110" s="58">
        <v>44013</v>
      </c>
      <c r="L110" s="56">
        <v>3167723.07</v>
      </c>
      <c r="M110" s="66" t="s">
        <v>73</v>
      </c>
      <c r="N110" s="66" t="s">
        <v>73</v>
      </c>
      <c r="O110" s="56">
        <v>4844398</v>
      </c>
      <c r="P110" s="56">
        <v>3185399</v>
      </c>
      <c r="Q110" s="68">
        <f t="shared" si="22"/>
        <v>0.6452750269486528</v>
      </c>
      <c r="R110" s="69">
        <f t="shared" si="25"/>
        <v>0.6575427947910143</v>
      </c>
      <c r="S110" s="56">
        <v>0</v>
      </c>
      <c r="T110" s="56">
        <f t="shared" si="26"/>
        <v>16</v>
      </c>
      <c r="U110" s="56">
        <v>4844398</v>
      </c>
      <c r="V110" s="70" t="s">
        <v>124</v>
      </c>
      <c r="W110" s="56" t="b">
        <v>0</v>
      </c>
      <c r="X110" s="71">
        <f t="shared" si="27"/>
        <v>0.6575427947910143</v>
      </c>
      <c r="Y110" s="71">
        <f t="shared" si="28"/>
        <v>0.6452750269486528</v>
      </c>
      <c r="Z110" s="61">
        <f t="shared" si="29"/>
        <v>16</v>
      </c>
      <c r="AA110" s="58">
        <v>0</v>
      </c>
      <c r="AB110" s="61" t="str">
        <f t="shared" si="23"/>
        <v>No</v>
      </c>
      <c r="AG110" s="56" t="b">
        <v>1</v>
      </c>
    </row>
    <row r="111" spans="1:33" x14ac:dyDescent="0.3">
      <c r="A111" s="3">
        <v>2076</v>
      </c>
      <c r="B111" s="67">
        <v>10440</v>
      </c>
      <c r="C111" s="52">
        <v>0.105</v>
      </c>
      <c r="D111" s="56" t="s">
        <v>76</v>
      </c>
      <c r="E111" s="52">
        <f t="shared" si="21"/>
        <v>6.9999999999999993E-2</v>
      </c>
      <c r="F111" s="56">
        <f t="shared" si="24"/>
        <v>164</v>
      </c>
      <c r="G111" s="56">
        <v>7727.82</v>
      </c>
      <c r="H111" s="56">
        <v>666212.81999999995</v>
      </c>
      <c r="I111" s="56">
        <v>180</v>
      </c>
      <c r="J111" s="58">
        <v>43891</v>
      </c>
      <c r="K111" s="58">
        <v>44013</v>
      </c>
      <c r="L111" s="56">
        <v>675949</v>
      </c>
      <c r="M111" s="66" t="s">
        <v>53</v>
      </c>
      <c r="N111" s="66" t="s">
        <v>116</v>
      </c>
      <c r="O111" s="56">
        <v>1422434</v>
      </c>
      <c r="P111" s="56">
        <v>675949</v>
      </c>
      <c r="Q111" s="68">
        <f t="shared" si="22"/>
        <v>0.46836114716043059</v>
      </c>
      <c r="R111" s="69">
        <f t="shared" si="25"/>
        <v>0.47520587949950577</v>
      </c>
      <c r="S111" s="56">
        <v>0</v>
      </c>
      <c r="T111" s="56">
        <f t="shared" si="26"/>
        <v>16</v>
      </c>
      <c r="U111" s="56">
        <v>1422434</v>
      </c>
      <c r="V111" s="70" t="s">
        <v>124</v>
      </c>
      <c r="W111" s="56" t="b">
        <v>0</v>
      </c>
      <c r="X111" s="71">
        <f t="shared" si="27"/>
        <v>0.47520587949950577</v>
      </c>
      <c r="Y111" s="71">
        <f t="shared" si="28"/>
        <v>0.46836114716043059</v>
      </c>
      <c r="Z111" s="61">
        <f t="shared" si="29"/>
        <v>16</v>
      </c>
      <c r="AA111" s="58">
        <v>0</v>
      </c>
      <c r="AB111" s="61" t="str">
        <f t="shared" si="23"/>
        <v>No</v>
      </c>
      <c r="AG111" s="56" t="b">
        <v>1</v>
      </c>
    </row>
    <row r="112" spans="1:33" ht="13.8" customHeight="1" x14ac:dyDescent="0.3">
      <c r="A112" s="3">
        <v>2078</v>
      </c>
      <c r="B112" s="67">
        <v>10443</v>
      </c>
      <c r="C112" s="52">
        <v>0.105</v>
      </c>
      <c r="D112" s="56" t="s">
        <v>76</v>
      </c>
      <c r="E112" s="52">
        <f t="shared" si="21"/>
        <v>6.9999999999999993E-2</v>
      </c>
      <c r="F112" s="56">
        <f t="shared" si="24"/>
        <v>170</v>
      </c>
      <c r="G112" s="56">
        <v>105384.57</v>
      </c>
      <c r="H112" s="56">
        <v>9136208.7899999991</v>
      </c>
      <c r="I112" s="56">
        <v>180</v>
      </c>
      <c r="J112" s="58">
        <v>43891</v>
      </c>
      <c r="K112" s="58">
        <v>44197</v>
      </c>
      <c r="L112" s="56">
        <v>8638078.5399999991</v>
      </c>
      <c r="M112" s="66" t="s">
        <v>70</v>
      </c>
      <c r="N112" s="66" t="s">
        <v>117</v>
      </c>
      <c r="O112" s="56">
        <v>16149290</v>
      </c>
      <c r="P112" s="56">
        <v>9282203</v>
      </c>
      <c r="Q112" s="68">
        <f t="shared" si="22"/>
        <v>0.56573439389595448</v>
      </c>
      <c r="R112" s="69">
        <f t="shared" si="25"/>
        <v>0.57477468049678959</v>
      </c>
      <c r="S112" s="56">
        <v>0</v>
      </c>
      <c r="T112" s="56">
        <f t="shared" si="26"/>
        <v>10</v>
      </c>
      <c r="U112" s="56">
        <v>16149290</v>
      </c>
      <c r="V112" s="70" t="s">
        <v>124</v>
      </c>
      <c r="W112" s="56" t="b">
        <v>0</v>
      </c>
      <c r="X112" s="71">
        <f t="shared" si="27"/>
        <v>0.57477468049678959</v>
      </c>
      <c r="Y112" s="71">
        <f t="shared" si="28"/>
        <v>0.56573439389595448</v>
      </c>
      <c r="Z112" s="61">
        <f t="shared" si="29"/>
        <v>10</v>
      </c>
      <c r="AA112" s="58">
        <v>44227</v>
      </c>
      <c r="AB112" s="61" t="str">
        <f t="shared" si="23"/>
        <v>No</v>
      </c>
      <c r="AG112" s="56" t="b">
        <v>1</v>
      </c>
    </row>
    <row r="113" spans="1:33" x14ac:dyDescent="0.3">
      <c r="A113" s="3">
        <v>2080</v>
      </c>
      <c r="B113" s="67">
        <v>10460</v>
      </c>
      <c r="C113" s="52">
        <v>0.105</v>
      </c>
      <c r="D113" s="56" t="s">
        <v>76</v>
      </c>
      <c r="E113" s="52">
        <f t="shared" si="21"/>
        <v>6.9999999999999993E-2</v>
      </c>
      <c r="F113" s="56">
        <f t="shared" si="24"/>
        <v>162</v>
      </c>
      <c r="G113" s="56">
        <v>23235.49</v>
      </c>
      <c r="H113" s="56">
        <v>2014427.04</v>
      </c>
      <c r="I113" s="56">
        <v>180</v>
      </c>
      <c r="J113" s="58">
        <v>43891</v>
      </c>
      <c r="K113" s="58">
        <v>43952</v>
      </c>
      <c r="L113" s="56">
        <v>2087430</v>
      </c>
      <c r="M113" s="66" t="s">
        <v>64</v>
      </c>
      <c r="N113" s="66" t="s">
        <v>118</v>
      </c>
      <c r="O113" s="56">
        <v>3312751.62</v>
      </c>
      <c r="P113" s="56">
        <v>2087430</v>
      </c>
      <c r="Q113" s="68">
        <f t="shared" si="22"/>
        <v>0.60808272731295199</v>
      </c>
      <c r="R113" s="69">
        <f t="shared" si="25"/>
        <v>0.63011968280314357</v>
      </c>
      <c r="S113" s="56">
        <v>0</v>
      </c>
      <c r="T113" s="56">
        <f t="shared" si="26"/>
        <v>18</v>
      </c>
      <c r="U113" s="56">
        <v>3312751.62</v>
      </c>
      <c r="V113" s="70" t="s">
        <v>124</v>
      </c>
      <c r="W113" s="56" t="b">
        <v>0</v>
      </c>
      <c r="X113" s="71">
        <f t="shared" si="27"/>
        <v>0.63011968280314357</v>
      </c>
      <c r="Y113" s="71">
        <f t="shared" si="28"/>
        <v>0.60808272731295199</v>
      </c>
      <c r="Z113" s="61">
        <f t="shared" si="29"/>
        <v>18</v>
      </c>
      <c r="AA113" s="58">
        <v>0</v>
      </c>
      <c r="AB113" s="61" t="str">
        <f t="shared" si="23"/>
        <v>No</v>
      </c>
      <c r="AG113" s="56" t="b">
        <v>0</v>
      </c>
    </row>
    <row r="114" spans="1:33" x14ac:dyDescent="0.3">
      <c r="A114" s="3"/>
      <c r="B114" s="67"/>
      <c r="C114" s="52"/>
      <c r="E114" s="52"/>
      <c r="G114" s="56"/>
      <c r="H114" s="56"/>
      <c r="L114" s="56"/>
      <c r="M114" s="66"/>
      <c r="N114" s="66"/>
      <c r="O114" s="56"/>
      <c r="P114" s="56"/>
      <c r="Q114" s="68"/>
      <c r="R114" s="69"/>
      <c r="V114" s="70"/>
      <c r="X114" s="71"/>
      <c r="Y114" s="71"/>
      <c r="AA114" s="58"/>
      <c r="AB114" s="61"/>
    </row>
    <row r="115" spans="1:33" x14ac:dyDescent="0.3">
      <c r="A115" s="3"/>
      <c r="B115" s="67"/>
      <c r="C115" s="52"/>
      <c r="E115" s="52"/>
      <c r="G115" s="56"/>
      <c r="H115" s="56"/>
      <c r="L115" s="56"/>
      <c r="M115" s="66"/>
      <c r="N115" s="66"/>
      <c r="O115" s="56"/>
      <c r="P115" s="56"/>
      <c r="Q115" s="68"/>
      <c r="R115" s="69"/>
      <c r="V115" s="70"/>
      <c r="X115" s="71"/>
      <c r="Y115" s="71"/>
      <c r="AA115" s="58"/>
      <c r="AB115" s="61"/>
    </row>
    <row r="116" spans="1:33" x14ac:dyDescent="0.3">
      <c r="A116" s="3"/>
      <c r="B116" s="67"/>
      <c r="C116" s="52"/>
      <c r="E116" s="52"/>
      <c r="G116" s="56"/>
      <c r="H116" s="56"/>
      <c r="L116" s="56"/>
      <c r="M116" s="66"/>
      <c r="N116" s="66"/>
      <c r="O116" s="56"/>
      <c r="P116" s="56"/>
      <c r="Q116" s="68"/>
      <c r="R116" s="69"/>
      <c r="V116" s="70"/>
      <c r="X116" s="71"/>
      <c r="Y116" s="71"/>
      <c r="AA116" s="58"/>
      <c r="AB116" s="61"/>
    </row>
    <row r="117" spans="1:33" x14ac:dyDescent="0.3">
      <c r="A117" s="3"/>
      <c r="B117" s="67"/>
      <c r="C117" s="52"/>
      <c r="E117" s="52"/>
      <c r="G117" s="56"/>
      <c r="H117" s="56"/>
      <c r="L117" s="56"/>
      <c r="M117" s="66"/>
      <c r="N117" s="66"/>
      <c r="O117" s="56"/>
      <c r="P117" s="56"/>
      <c r="Q117" s="68"/>
      <c r="R117" s="69"/>
      <c r="V117" s="70"/>
      <c r="X117" s="71"/>
      <c r="Y117" s="71"/>
      <c r="AA117" s="58"/>
      <c r="AB117" s="61"/>
    </row>
    <row r="118" spans="1:33" x14ac:dyDescent="0.3">
      <c r="A118" s="3"/>
      <c r="B118" s="67"/>
      <c r="C118" s="52"/>
      <c r="E118" s="52"/>
      <c r="G118" s="56"/>
      <c r="H118" s="56"/>
      <c r="L118" s="56"/>
      <c r="M118" s="66"/>
      <c r="N118" s="66"/>
      <c r="O118" s="56"/>
      <c r="P118" s="56"/>
      <c r="Q118" s="68"/>
      <c r="R118" s="69"/>
      <c r="V118" s="70"/>
      <c r="X118" s="71"/>
      <c r="Y118" s="71"/>
      <c r="AA118" s="58"/>
      <c r="AB118" s="61"/>
      <c r="AG118" s="56" t="b">
        <v>0</v>
      </c>
    </row>
    <row r="119" spans="1:33" ht="13.2" customHeight="1" x14ac:dyDescent="0.3">
      <c r="A119" s="73"/>
      <c r="B119" s="67"/>
      <c r="C119" s="66"/>
      <c r="E119" s="52"/>
      <c r="G119" s="56"/>
      <c r="H119" s="2">
        <f>SUM(H3:H118)</f>
        <v>645001717.52149999</v>
      </c>
      <c r="L119" s="56"/>
      <c r="O119" s="56"/>
      <c r="P119" s="74"/>
      <c r="Q119" s="60"/>
      <c r="R119" s="75"/>
      <c r="X119" s="71"/>
      <c r="Y119" s="71"/>
      <c r="AA119" s="58"/>
      <c r="AB119" s="61"/>
    </row>
    <row r="120" spans="1:33" ht="13.2" customHeight="1" x14ac:dyDescent="0.3">
      <c r="A120" s="3"/>
      <c r="B120" s="67"/>
      <c r="C120" s="66"/>
      <c r="E120" s="52"/>
      <c r="G120" s="56"/>
      <c r="H120" s="56"/>
      <c r="L120" s="56"/>
      <c r="O120" s="56"/>
      <c r="P120" s="74"/>
      <c r="Q120" s="60"/>
      <c r="R120" s="75"/>
      <c r="X120" s="71"/>
      <c r="Y120" s="71"/>
      <c r="AA120" s="58"/>
      <c r="AB120" s="61"/>
    </row>
    <row r="121" spans="1:33" x14ac:dyDescent="0.3">
      <c r="B121" s="67"/>
      <c r="E121" s="52"/>
      <c r="G121" s="76" t="s">
        <v>23</v>
      </c>
      <c r="H121" s="53">
        <f>SUMIF($W$3:$W$118,"FALSE",$H$3:$H$118)</f>
        <v>645001717.52149999</v>
      </c>
      <c r="L121" s="56"/>
      <c r="AA121" s="58"/>
      <c r="AB121" s="61"/>
    </row>
    <row r="122" spans="1:33" x14ac:dyDescent="0.3">
      <c r="B122" s="67"/>
      <c r="E122" s="52"/>
      <c r="G122" s="76" t="s">
        <v>24</v>
      </c>
      <c r="H122" s="53">
        <f>IFERROR(SUMIF($W$3:$W$118,"TRUE",$H$3:$H$118),0)</f>
        <v>0</v>
      </c>
      <c r="L122" s="56"/>
      <c r="U122" s="68"/>
      <c r="AA122" s="58"/>
      <c r="AB122" s="61"/>
    </row>
    <row r="123" spans="1:33" x14ac:dyDescent="0.3">
      <c r="G123" s="76" t="s">
        <v>25</v>
      </c>
      <c r="H123" s="53">
        <f>SUM(H121:H122)</f>
        <v>645001717.52149999</v>
      </c>
      <c r="I123" s="56">
        <f>COUNT(H3:H118)</f>
        <v>111</v>
      </c>
      <c r="U123" s="68"/>
    </row>
    <row r="126" spans="1:33" x14ac:dyDescent="0.3">
      <c r="G126" s="57" t="s">
        <v>26</v>
      </c>
      <c r="H126" s="79">
        <v>8.4999799728393555E-3</v>
      </c>
      <c r="J126" s="56"/>
      <c r="K126" s="56"/>
      <c r="L126" s="56"/>
      <c r="O126" s="56"/>
      <c r="P126" s="56"/>
      <c r="Q126" s="56"/>
      <c r="R126" s="56"/>
      <c r="X126" s="56"/>
      <c r="Y126" s="56"/>
      <c r="Z126" s="56"/>
    </row>
    <row r="128" spans="1:33" x14ac:dyDescent="0.3">
      <c r="G128" s="73" t="s">
        <v>22</v>
      </c>
      <c r="H128" s="53">
        <f>SUMIF($AB$3:$AB$118,"Yes",$H$3:$H$118)</f>
        <v>53357064.549999997</v>
      </c>
      <c r="I128" s="68">
        <f>H128/H123</f>
        <v>8.272391080605368E-2</v>
      </c>
      <c r="J128" s="56"/>
      <c r="K128" s="56"/>
      <c r="L128" s="56"/>
      <c r="O128" s="56"/>
      <c r="P128" s="56"/>
      <c r="Q128" s="56"/>
      <c r="R128" s="56"/>
      <c r="X128" s="56"/>
      <c r="Y128" s="56"/>
      <c r="Z128" s="56"/>
    </row>
    <row r="129" spans="1:26" x14ac:dyDescent="0.3">
      <c r="G129" s="73" t="s">
        <v>27</v>
      </c>
      <c r="H129" s="80" cm="1">
        <f t="array" ref="H129">SUMPRODUCT($T$3:$T$118,$H$3:$H$118/$H$123)</f>
        <v>36.425101181876855</v>
      </c>
      <c r="I129" s="80">
        <f>H129</f>
        <v>36.425101181876855</v>
      </c>
      <c r="J129" s="56"/>
      <c r="K129" s="56"/>
      <c r="L129" s="56"/>
      <c r="O129" s="56"/>
      <c r="P129" s="56"/>
      <c r="Q129" s="56"/>
      <c r="R129" s="56"/>
      <c r="X129" s="56"/>
      <c r="Y129" s="56"/>
      <c r="Z129" s="56"/>
    </row>
    <row r="130" spans="1:26" x14ac:dyDescent="0.3">
      <c r="G130" s="73" t="s">
        <v>28</v>
      </c>
      <c r="H130" s="81" cm="1">
        <f t="array" ref="H130">SUMPRODUCT($E$3:$E$118,$H$3:$H$118/$H$123)</f>
        <v>6.8845640919742684E-2</v>
      </c>
      <c r="I130" s="81">
        <f>H130</f>
        <v>6.8845640919742684E-2</v>
      </c>
      <c r="J130" s="56"/>
      <c r="K130" s="56"/>
      <c r="L130" s="56"/>
      <c r="O130" s="56"/>
      <c r="P130" s="56"/>
      <c r="Q130" s="56"/>
      <c r="R130" s="56"/>
      <c r="X130" s="56"/>
      <c r="Y130" s="56"/>
      <c r="Z130" s="56"/>
    </row>
    <row r="131" spans="1:26" x14ac:dyDescent="0.3">
      <c r="G131" s="73" t="s">
        <v>29</v>
      </c>
      <c r="H131" s="81" cm="1">
        <f t="array" ref="H131">SUMPRODUCT($Q$3:$Q$118,$H$3:$H$118/$H$123)</f>
        <v>0.5832955979665666</v>
      </c>
      <c r="I131" s="81">
        <f t="shared" ref="I131" si="30">H131</f>
        <v>0.5832955979665666</v>
      </c>
      <c r="J131" s="56"/>
      <c r="K131" s="56"/>
      <c r="L131" s="56"/>
      <c r="O131" s="56"/>
      <c r="P131" s="56"/>
      <c r="Q131" s="56"/>
      <c r="R131" s="56"/>
      <c r="X131" s="56"/>
      <c r="Y131" s="56"/>
      <c r="Z131" s="56"/>
    </row>
    <row r="132" spans="1:26" x14ac:dyDescent="0.3">
      <c r="F132" s="73"/>
      <c r="G132" s="73"/>
      <c r="H132" s="73"/>
      <c r="I132" s="73"/>
      <c r="J132" s="56"/>
      <c r="K132" s="56"/>
      <c r="L132" s="56"/>
      <c r="O132" s="56"/>
      <c r="P132" s="56"/>
      <c r="Q132" s="56"/>
      <c r="R132" s="56"/>
      <c r="X132" s="56"/>
      <c r="Y132" s="56"/>
      <c r="Z132" s="56"/>
    </row>
    <row r="133" spans="1:26" x14ac:dyDescent="0.3">
      <c r="F133" s="82" t="s">
        <v>30</v>
      </c>
      <c r="G133" s="73"/>
      <c r="H133" s="73"/>
      <c r="I133" s="73"/>
      <c r="J133" s="56"/>
      <c r="K133" s="56"/>
      <c r="L133" s="56"/>
      <c r="O133" s="56"/>
      <c r="P133" s="56"/>
      <c r="Q133" s="56"/>
      <c r="R133" s="56"/>
      <c r="X133" s="56"/>
      <c r="Y133" s="56"/>
      <c r="Z133" s="56"/>
    </row>
    <row r="134" spans="1:26" x14ac:dyDescent="0.3">
      <c r="F134" s="73"/>
      <c r="G134" s="73" t="s">
        <v>31</v>
      </c>
      <c r="H134" s="53">
        <f>SUMIF($Q$5:$Q$118,"&lt;=30%",$H$3:$H$118)</f>
        <v>10776931.440000001</v>
      </c>
      <c r="I134" s="83">
        <f t="shared" ref="I134:I140" si="31">H134/$H$123</f>
        <v>1.670837634574325E-2</v>
      </c>
      <c r="J134" s="56"/>
      <c r="K134" s="56"/>
      <c r="L134" s="56"/>
      <c r="O134" s="56"/>
      <c r="P134" s="56"/>
      <c r="Q134" s="56"/>
      <c r="R134" s="56"/>
      <c r="X134" s="56"/>
      <c r="Y134" s="56"/>
      <c r="Z134" s="56"/>
    </row>
    <row r="135" spans="1:26" x14ac:dyDescent="0.3">
      <c r="F135" s="73"/>
      <c r="G135" s="84" t="s">
        <v>32</v>
      </c>
      <c r="H135" s="53">
        <f>SUMIF($Q$3:$Q$118,"&lt;=40%",$H$3:$H$118)-H134</f>
        <v>47783114.015499994</v>
      </c>
      <c r="I135" s="83">
        <f t="shared" si="31"/>
        <v>7.4082150043123296E-2</v>
      </c>
      <c r="J135" s="56"/>
      <c r="K135" s="56"/>
      <c r="L135" s="56"/>
      <c r="O135" s="56"/>
      <c r="P135" s="56"/>
      <c r="Q135" s="56"/>
      <c r="R135" s="56"/>
      <c r="X135" s="56"/>
      <c r="Y135" s="56"/>
      <c r="Z135" s="56"/>
    </row>
    <row r="136" spans="1:26" x14ac:dyDescent="0.3">
      <c r="F136" s="73"/>
      <c r="G136" s="84" t="s">
        <v>33</v>
      </c>
      <c r="H136" s="53">
        <f>SUMIF($Q$3:$Q$118,"&lt;=50%",$H$3:$H$118)-SUM(H134:$H$135)</f>
        <v>57882607.941</v>
      </c>
      <c r="I136" s="83">
        <f t="shared" si="31"/>
        <v>8.9740238465443448E-2</v>
      </c>
      <c r="J136" s="56"/>
      <c r="K136" s="56"/>
      <c r="L136" s="56"/>
      <c r="O136" s="56"/>
      <c r="P136" s="56"/>
      <c r="Q136" s="56"/>
      <c r="R136" s="56"/>
      <c r="X136" s="56"/>
      <c r="Y136" s="56"/>
      <c r="Z136" s="56"/>
    </row>
    <row r="137" spans="1:26" x14ac:dyDescent="0.3">
      <c r="F137" s="73"/>
      <c r="G137" s="84" t="s">
        <v>34</v>
      </c>
      <c r="H137" s="53">
        <f>SUMIF($Q$3:$Q$118,"&lt;=60%",$H$3:$H$118)-SUM($H$134:$H136)</f>
        <v>164179231.75499994</v>
      </c>
      <c r="I137" s="83">
        <f t="shared" si="31"/>
        <v>0.25454076678412457</v>
      </c>
      <c r="J137" s="56"/>
      <c r="K137" s="56"/>
      <c r="L137" s="56"/>
      <c r="O137" s="56"/>
      <c r="P137" s="56"/>
      <c r="Q137" s="56"/>
      <c r="R137" s="56"/>
      <c r="X137" s="56"/>
      <c r="Y137" s="56"/>
      <c r="Z137" s="56"/>
    </row>
    <row r="138" spans="1:26" x14ac:dyDescent="0.3">
      <c r="F138" s="73"/>
      <c r="G138" s="84" t="s">
        <v>35</v>
      </c>
      <c r="H138" s="53">
        <f>SUMIF($Q$3:$Q$118,"&lt;=70%",$H$3:$H$118)-SUM($H$134:$H137)</f>
        <v>253294781.68000036</v>
      </c>
      <c r="I138" s="83">
        <f t="shared" si="31"/>
        <v>0.39270404217420901</v>
      </c>
      <c r="J138" s="56"/>
      <c r="K138" s="56"/>
      <c r="L138" s="56"/>
      <c r="O138" s="56"/>
      <c r="P138" s="56"/>
      <c r="Q138" s="56"/>
      <c r="R138" s="56"/>
      <c r="X138" s="56"/>
      <c r="Y138" s="56"/>
      <c r="Z138" s="56"/>
    </row>
    <row r="139" spans="1:26" x14ac:dyDescent="0.3">
      <c r="F139" s="73"/>
      <c r="G139" s="84" t="s">
        <v>36</v>
      </c>
      <c r="H139" s="53">
        <f>SUMIF($Q$3:$Q$118,"&lt;=80%",$H$3:$H$118)-SUM($H$134:$H138)</f>
        <v>111085050.6899997</v>
      </c>
      <c r="I139" s="83">
        <f t="shared" si="31"/>
        <v>0.17222442618735642</v>
      </c>
      <c r="J139" s="56"/>
      <c r="K139" s="56"/>
      <c r="L139" s="56"/>
      <c r="O139" s="56"/>
      <c r="P139" s="56"/>
      <c r="Q139" s="56"/>
      <c r="R139" s="56"/>
      <c r="X139" s="56"/>
      <c r="Y139" s="56"/>
      <c r="Z139" s="56"/>
    </row>
    <row r="140" spans="1:26" x14ac:dyDescent="0.3">
      <c r="F140" s="73"/>
      <c r="G140" s="84" t="s">
        <v>37</v>
      </c>
      <c r="H140" s="53">
        <f>SUMIF($Q$3:$Q$118,"&gt;80%",$H$3:$H$118)</f>
        <v>0</v>
      </c>
      <c r="I140" s="83">
        <f t="shared" si="31"/>
        <v>0</v>
      </c>
      <c r="J140" s="56"/>
      <c r="K140" s="56"/>
      <c r="L140" s="56"/>
      <c r="O140" s="56"/>
      <c r="P140" s="56"/>
      <c r="Q140" s="56"/>
      <c r="R140" s="56"/>
      <c r="X140" s="56"/>
      <c r="Y140" s="56"/>
      <c r="Z140" s="56"/>
    </row>
    <row r="141" spans="1:26" x14ac:dyDescent="0.3">
      <c r="F141" s="73"/>
      <c r="G141" s="73"/>
      <c r="H141" s="73"/>
      <c r="I141" s="85">
        <f>SUM(I134:I140)</f>
        <v>1</v>
      </c>
      <c r="J141" s="56"/>
      <c r="K141" s="56"/>
      <c r="L141" s="56"/>
      <c r="O141" s="56"/>
      <c r="P141" s="56"/>
      <c r="Q141" s="56"/>
      <c r="R141" s="56"/>
      <c r="X141" s="56"/>
      <c r="Y141" s="56"/>
      <c r="Z141" s="56"/>
    </row>
    <row r="142" spans="1:26" x14ac:dyDescent="0.3">
      <c r="A142" s="56"/>
      <c r="F142" s="82" t="s">
        <v>17</v>
      </c>
      <c r="G142" s="73"/>
      <c r="H142" s="73"/>
      <c r="I142" s="73"/>
      <c r="J142" s="56"/>
      <c r="K142" s="56"/>
      <c r="L142" s="56"/>
      <c r="O142" s="56"/>
      <c r="P142" s="56"/>
      <c r="Q142" s="56"/>
      <c r="R142" s="56"/>
      <c r="X142" s="56"/>
      <c r="Y142" s="56"/>
      <c r="Z142" s="56"/>
    </row>
    <row r="143" spans="1:26" x14ac:dyDescent="0.3">
      <c r="A143" s="56"/>
      <c r="F143" s="73"/>
      <c r="G143" s="73" t="s">
        <v>38</v>
      </c>
      <c r="H143" s="53">
        <f>SUMIF($T$3:$T$118,"&lt;=6",$H$3:$H$118)</f>
        <v>24461083.939999998</v>
      </c>
      <c r="I143" s="83">
        <f>H143/$H$123</f>
        <v>3.7924060162188064E-2</v>
      </c>
      <c r="J143" s="56"/>
      <c r="K143" s="56"/>
      <c r="L143" s="56"/>
      <c r="O143" s="56"/>
      <c r="P143" s="56"/>
      <c r="Q143" s="56"/>
      <c r="R143" s="56"/>
      <c r="X143" s="56"/>
      <c r="Y143" s="56"/>
      <c r="Z143" s="56"/>
    </row>
    <row r="144" spans="1:26" x14ac:dyDescent="0.3">
      <c r="A144" s="56"/>
      <c r="F144" s="73"/>
      <c r="G144" s="84" t="s">
        <v>39</v>
      </c>
      <c r="H144" s="53">
        <f>SUMIF($T$3:$T$118,"&lt;=12",$H$3:$H$118)-H143</f>
        <v>29022369.090000004</v>
      </c>
      <c r="I144" s="83">
        <f>H144/$H$123</f>
        <v>4.4995801253866576E-2</v>
      </c>
      <c r="J144" s="56"/>
      <c r="K144" s="56"/>
      <c r="L144" s="56"/>
      <c r="O144" s="56"/>
      <c r="P144" s="56"/>
      <c r="Q144" s="56"/>
      <c r="R144" s="56"/>
      <c r="X144" s="56"/>
      <c r="Y144" s="56"/>
      <c r="Z144" s="56"/>
    </row>
    <row r="145" spans="6:10" s="56" customFormat="1" x14ac:dyDescent="0.3">
      <c r="F145" s="73"/>
      <c r="G145" s="84" t="s">
        <v>40</v>
      </c>
      <c r="H145" s="53">
        <f>SUMIF($T$3:$T$118,"&lt;=18",$H$3:$H$118)-SUM(H143:$H$144)</f>
        <v>89426367.589999974</v>
      </c>
      <c r="I145" s="83">
        <f>H145/$H$123</f>
        <v>0.13864516195961774</v>
      </c>
    </row>
    <row r="146" spans="6:10" s="56" customFormat="1" x14ac:dyDescent="0.3">
      <c r="F146" s="73"/>
      <c r="G146" s="84" t="s">
        <v>41</v>
      </c>
      <c r="H146" s="53">
        <f>SUMIF($T$3:$T$118,"&lt;=24",$H$3:$H$118)-SUM(H143:$H$145)</f>
        <v>176553637.4850001</v>
      </c>
      <c r="I146" s="83">
        <f>H146/$H$123</f>
        <v>0.27372584086043927</v>
      </c>
    </row>
    <row r="147" spans="6:10" s="56" customFormat="1" x14ac:dyDescent="0.3">
      <c r="F147" s="73"/>
      <c r="G147" s="84" t="s">
        <v>42</v>
      </c>
      <c r="H147" s="53">
        <f>SUMIF($T$3:$T$118,"&gt;24",$H$3:$H$118)</f>
        <v>325538259.41650003</v>
      </c>
      <c r="I147" s="83">
        <f>H147/$H$123</f>
        <v>0.50470913576388854</v>
      </c>
    </row>
    <row r="148" spans="6:10" s="56" customFormat="1" x14ac:dyDescent="0.3">
      <c r="F148" s="73"/>
      <c r="G148" s="73"/>
      <c r="H148" s="73"/>
      <c r="I148" s="86">
        <f>SUBTOTAL(9,I143:I147)</f>
        <v>1.0000000000000002</v>
      </c>
    </row>
    <row r="149" spans="6:10" s="56" customFormat="1" x14ac:dyDescent="0.3">
      <c r="F149" s="73"/>
      <c r="G149" s="73"/>
      <c r="H149" s="73"/>
      <c r="I149" s="73"/>
    </row>
    <row r="150" spans="6:10" s="56" customFormat="1" x14ac:dyDescent="0.3">
      <c r="F150" s="82" t="s">
        <v>140</v>
      </c>
      <c r="G150" s="73"/>
      <c r="H150" s="73"/>
      <c r="I150" s="73"/>
    </row>
    <row r="151" spans="6:10" s="56" customFormat="1" x14ac:dyDescent="0.3">
      <c r="F151" s="73"/>
      <c r="G151" s="73" t="s">
        <v>47</v>
      </c>
      <c r="H151" s="53">
        <f>SUMIF($E$3:$E$114,"&lt;=6%",$H$3:$H$114)</f>
        <v>72530355.269999996</v>
      </c>
      <c r="I151" s="81">
        <f>H151/$H$123</f>
        <v>0.11244986377510277</v>
      </c>
    </row>
    <row r="152" spans="6:10" s="56" customFormat="1" x14ac:dyDescent="0.3">
      <c r="F152" s="73"/>
      <c r="G152" s="73" t="s">
        <v>141</v>
      </c>
      <c r="H152" s="53">
        <f>SUMIF($E$3:$E$114,"&lt;=7%",$H$3:$H$114)-SUM($H$151:H151)</f>
        <v>388645665.80600017</v>
      </c>
      <c r="I152" s="81">
        <f>H152/$H$123</f>
        <v>0.60254981537013563</v>
      </c>
    </row>
    <row r="153" spans="6:10" s="56" customFormat="1" x14ac:dyDescent="0.3">
      <c r="F153" s="73"/>
      <c r="G153" s="73" t="s">
        <v>142</v>
      </c>
      <c r="H153" s="53">
        <f>SUMIF($E$3:$E$114,"&lt;=8%",$H$3:$H$114)-SUM($H$151:H152)</f>
        <v>137323343.37550002</v>
      </c>
      <c r="I153" s="81">
        <f>H153/$H$123</f>
        <v>0.21290384140864338</v>
      </c>
    </row>
    <row r="154" spans="6:10" s="56" customFormat="1" x14ac:dyDescent="0.3">
      <c r="F154" s="73"/>
      <c r="G154" s="73" t="s">
        <v>143</v>
      </c>
      <c r="H154" s="53">
        <f>SUMIF($E$3:$E$114,"&lt;=9%",$H$3:$H$114)-SUM($H$151:H153)</f>
        <v>46502353.069999814</v>
      </c>
      <c r="I154" s="81">
        <f>H154/$H$123</f>
        <v>7.2096479446118286E-2</v>
      </c>
    </row>
    <row r="155" spans="6:10" s="56" customFormat="1" x14ac:dyDescent="0.3">
      <c r="F155" s="73"/>
      <c r="G155" s="73" t="s">
        <v>144</v>
      </c>
      <c r="H155" s="53">
        <f>SUMIF($E$3:$E$114,"&lt;=9%",$H$3:$H$114)-SUM($H$151:H154)</f>
        <v>0</v>
      </c>
      <c r="I155" s="81">
        <f>H155/$H$123</f>
        <v>0</v>
      </c>
    </row>
    <row r="156" spans="6:10" s="56" customFormat="1" x14ac:dyDescent="0.3">
      <c r="F156" s="73"/>
      <c r="G156" s="73"/>
      <c r="H156" s="73"/>
      <c r="I156" s="87">
        <f>SUBTOTAL(9,I151:I155)</f>
        <v>1</v>
      </c>
    </row>
    <row r="157" spans="6:10" s="56" customFormat="1" x14ac:dyDescent="0.3">
      <c r="F157" s="73"/>
      <c r="G157" s="73"/>
      <c r="H157" s="73"/>
      <c r="I157" s="73"/>
    </row>
    <row r="158" spans="6:10" s="56" customFormat="1" x14ac:dyDescent="0.3">
      <c r="F158" s="82" t="s">
        <v>48</v>
      </c>
      <c r="G158" s="73"/>
      <c r="H158" s="73"/>
      <c r="I158" s="73"/>
      <c r="J158" s="58"/>
    </row>
    <row r="159" spans="6:10" s="56" customFormat="1" x14ac:dyDescent="0.3">
      <c r="F159" s="73"/>
      <c r="G159" s="73"/>
      <c r="H159" s="73"/>
      <c r="I159" s="73"/>
      <c r="J159" s="58"/>
    </row>
    <row r="160" spans="6:10" s="56" customFormat="1" x14ac:dyDescent="0.3">
      <c r="F160" s="73">
        <v>7996</v>
      </c>
      <c r="G160" s="73">
        <v>7996</v>
      </c>
      <c r="H160" s="53">
        <f t="shared" ref="H160:H166" si="32">SUMIF($B$3:$B$118,$G160,$H$3:$H$118)</f>
        <v>61089228.859999999</v>
      </c>
      <c r="I160" s="83">
        <f t="shared" ref="I160:I166" si="33">H160/$H$123</f>
        <v>9.4711730528010102E-2</v>
      </c>
      <c r="J160" s="83">
        <f>I160</f>
        <v>9.4711730528010102E-2</v>
      </c>
    </row>
    <row r="161" spans="6:10" s="56" customFormat="1" x14ac:dyDescent="0.3">
      <c r="F161" s="73">
        <v>10235</v>
      </c>
      <c r="G161" s="73">
        <v>10235</v>
      </c>
      <c r="H161" s="53">
        <f t="shared" si="32"/>
        <v>47634430.009999998</v>
      </c>
      <c r="I161" s="83">
        <f t="shared" si="33"/>
        <v>7.3851632818965618E-2</v>
      </c>
      <c r="J161" s="83">
        <f>SUM($I$160:$I161)</f>
        <v>0.16856336334697572</v>
      </c>
    </row>
    <row r="162" spans="6:10" s="56" customFormat="1" x14ac:dyDescent="0.3">
      <c r="F162" s="73">
        <v>9954</v>
      </c>
      <c r="G162" s="73">
        <v>9954</v>
      </c>
      <c r="H162" s="53">
        <f t="shared" si="32"/>
        <v>28893187.510000002</v>
      </c>
      <c r="I162" s="83">
        <f t="shared" si="33"/>
        <v>4.4795520267799746E-2</v>
      </c>
      <c r="J162" s="83">
        <f>SUM($I$160:$I162)</f>
        <v>0.21335888361477545</v>
      </c>
    </row>
    <row r="163" spans="6:10" s="56" customFormat="1" x14ac:dyDescent="0.3">
      <c r="F163" s="73">
        <v>10328</v>
      </c>
      <c r="G163" s="73">
        <v>10328</v>
      </c>
      <c r="H163" s="53">
        <f t="shared" si="32"/>
        <v>28295445.309999999</v>
      </c>
      <c r="I163" s="83">
        <f t="shared" si="33"/>
        <v>4.3868790642494403E-2</v>
      </c>
      <c r="J163" s="83">
        <f>SUM($I$160:$I163)</f>
        <v>0.25722767425726983</v>
      </c>
    </row>
    <row r="164" spans="6:10" s="56" customFormat="1" x14ac:dyDescent="0.3">
      <c r="F164" s="73">
        <v>10232</v>
      </c>
      <c r="G164" s="73">
        <v>10232</v>
      </c>
      <c r="H164" s="53">
        <f t="shared" si="32"/>
        <v>26049301.579999998</v>
      </c>
      <c r="I164" s="83">
        <f t="shared" si="33"/>
        <v>4.038640653562553E-2</v>
      </c>
      <c r="J164" s="83">
        <f>SUM($I$160:$I164)</f>
        <v>0.29761408079289536</v>
      </c>
    </row>
    <row r="165" spans="6:10" s="56" customFormat="1" x14ac:dyDescent="0.3">
      <c r="F165" s="73">
        <v>9429</v>
      </c>
      <c r="G165" s="73">
        <v>9429</v>
      </c>
      <c r="H165" s="53">
        <f t="shared" si="32"/>
        <v>24121443.18</v>
      </c>
      <c r="I165" s="83">
        <f t="shared" si="33"/>
        <v>3.7397486742655001E-2</v>
      </c>
      <c r="J165" s="83">
        <f>SUM($I$160:$I165)</f>
        <v>0.33501156753555039</v>
      </c>
    </row>
    <row r="166" spans="6:10" s="56" customFormat="1" x14ac:dyDescent="0.3">
      <c r="F166" s="73">
        <v>8536</v>
      </c>
      <c r="G166" s="73">
        <v>8536</v>
      </c>
      <c r="H166" s="53">
        <f t="shared" si="32"/>
        <v>23485116.780000001</v>
      </c>
      <c r="I166" s="83">
        <f t="shared" si="33"/>
        <v>3.6410936811524332E-2</v>
      </c>
      <c r="J166" s="83">
        <f>SUM($I$160:$I166)</f>
        <v>0.37142250434707474</v>
      </c>
    </row>
    <row r="167" spans="6:10" s="56" customFormat="1" x14ac:dyDescent="0.3">
      <c r="F167" s="73"/>
      <c r="G167" s="73"/>
      <c r="H167" s="73"/>
      <c r="I167" s="88">
        <f>SUM(I160:I166)</f>
        <v>0.37142250434707474</v>
      </c>
      <c r="J167" s="88"/>
    </row>
    <row r="168" spans="6:10" s="56" customFormat="1" x14ac:dyDescent="0.3">
      <c r="F168" s="73"/>
      <c r="G168" s="73"/>
      <c r="H168" s="73"/>
      <c r="I168" s="73"/>
      <c r="J168" s="58"/>
    </row>
    <row r="169" spans="6:10" s="56" customFormat="1" x14ac:dyDescent="0.3">
      <c r="F169" s="82" t="s">
        <v>49</v>
      </c>
      <c r="G169" s="73"/>
      <c r="H169" s="73"/>
      <c r="I169" s="73"/>
      <c r="J169" s="58"/>
    </row>
    <row r="170" spans="6:10" s="56" customFormat="1" x14ac:dyDescent="0.3">
      <c r="F170" s="73"/>
      <c r="G170" s="73"/>
      <c r="H170" s="82" t="s">
        <v>50</v>
      </c>
      <c r="I170" s="82" t="s">
        <v>51</v>
      </c>
      <c r="J170" s="58"/>
    </row>
    <row r="171" spans="6:10" s="56" customFormat="1" x14ac:dyDescent="0.3">
      <c r="F171" s="89" t="s">
        <v>52</v>
      </c>
      <c r="G171" s="90" t="s">
        <v>53</v>
      </c>
      <c r="H171" s="53">
        <f t="shared" ref="H171:H189" si="34">SUMIF($M$3:$M$118,$G171,$H$3:$H$118)</f>
        <v>340498206.77000022</v>
      </c>
      <c r="I171" s="81">
        <f t="shared" ref="I171:I189" si="35">H171/$H$123</f>
        <v>0.52790279083039859</v>
      </c>
      <c r="J171" s="58"/>
    </row>
    <row r="172" spans="6:10" s="56" customFormat="1" x14ac:dyDescent="0.3">
      <c r="F172" s="89" t="s">
        <v>52</v>
      </c>
      <c r="G172" s="89" t="s">
        <v>54</v>
      </c>
      <c r="H172" s="53">
        <f t="shared" si="34"/>
        <v>3396097.52</v>
      </c>
      <c r="I172" s="81">
        <f t="shared" si="35"/>
        <v>5.2652534524247948E-3</v>
      </c>
      <c r="J172" s="58"/>
    </row>
    <row r="173" spans="6:10" s="56" customFormat="1" x14ac:dyDescent="0.3">
      <c r="F173" s="89" t="s">
        <v>52</v>
      </c>
      <c r="G173" s="89" t="s">
        <v>55</v>
      </c>
      <c r="H173" s="53">
        <f t="shared" si="34"/>
        <v>0</v>
      </c>
      <c r="I173" s="81">
        <f t="shared" si="35"/>
        <v>0</v>
      </c>
      <c r="J173" s="58"/>
    </row>
    <row r="174" spans="6:10" s="56" customFormat="1" x14ac:dyDescent="0.3">
      <c r="F174" s="89" t="s">
        <v>52</v>
      </c>
      <c r="G174" s="89" t="s">
        <v>56</v>
      </c>
      <c r="H174" s="53">
        <f t="shared" si="34"/>
        <v>11363207.73</v>
      </c>
      <c r="I174" s="81">
        <f t="shared" si="35"/>
        <v>1.7617329413733271E-2</v>
      </c>
    </row>
    <row r="175" spans="6:10" s="56" customFormat="1" x14ac:dyDescent="0.3">
      <c r="F175" s="89" t="s">
        <v>52</v>
      </c>
      <c r="G175" s="89" t="s">
        <v>57</v>
      </c>
      <c r="H175" s="53">
        <f t="shared" si="34"/>
        <v>6746271.7000000002</v>
      </c>
      <c r="I175" s="81">
        <f t="shared" si="35"/>
        <v>1.0459308117695245E-2</v>
      </c>
    </row>
    <row r="176" spans="6:10" s="56" customFormat="1" x14ac:dyDescent="0.3">
      <c r="F176" s="89" t="s">
        <v>52</v>
      </c>
      <c r="G176" s="89" t="s">
        <v>58</v>
      </c>
      <c r="H176" s="53">
        <f t="shared" si="34"/>
        <v>0</v>
      </c>
      <c r="I176" s="81">
        <f t="shared" si="35"/>
        <v>0</v>
      </c>
    </row>
    <row r="177" spans="6:9" s="56" customFormat="1" x14ac:dyDescent="0.3">
      <c r="F177" s="89" t="s">
        <v>52</v>
      </c>
      <c r="G177" s="89" t="s">
        <v>59</v>
      </c>
      <c r="H177" s="53">
        <f t="shared" si="34"/>
        <v>0</v>
      </c>
      <c r="I177" s="81">
        <f t="shared" si="35"/>
        <v>0</v>
      </c>
    </row>
    <row r="178" spans="6:9" s="56" customFormat="1" x14ac:dyDescent="0.3">
      <c r="F178" s="89" t="s">
        <v>52</v>
      </c>
      <c r="G178" s="89" t="s">
        <v>60</v>
      </c>
      <c r="H178" s="53">
        <f t="shared" si="34"/>
        <v>0</v>
      </c>
      <c r="I178" s="81">
        <f t="shared" si="35"/>
        <v>0</v>
      </c>
    </row>
    <row r="179" spans="6:9" s="56" customFormat="1" x14ac:dyDescent="0.3">
      <c r="F179" s="89" t="s">
        <v>52</v>
      </c>
      <c r="G179" s="89" t="s">
        <v>61</v>
      </c>
      <c r="H179" s="53">
        <f t="shared" si="34"/>
        <v>0</v>
      </c>
      <c r="I179" s="81">
        <f t="shared" si="35"/>
        <v>0</v>
      </c>
    </row>
    <row r="180" spans="6:9" s="56" customFormat="1" x14ac:dyDescent="0.3">
      <c r="F180" s="89" t="s">
        <v>52</v>
      </c>
      <c r="G180" s="89" t="s">
        <v>62</v>
      </c>
      <c r="H180" s="53">
        <f t="shared" si="34"/>
        <v>14080109.880000001</v>
      </c>
      <c r="I180" s="81">
        <f t="shared" si="35"/>
        <v>2.1829569592627735E-2</v>
      </c>
    </row>
    <row r="181" spans="6:9" s="56" customFormat="1" x14ac:dyDescent="0.3">
      <c r="F181" s="89" t="s">
        <v>63</v>
      </c>
      <c r="G181" s="89" t="s">
        <v>64</v>
      </c>
      <c r="H181" s="53">
        <f t="shared" si="34"/>
        <v>12414430.919999998</v>
      </c>
      <c r="I181" s="81">
        <f t="shared" si="35"/>
        <v>1.9247128469214014E-2</v>
      </c>
    </row>
    <row r="182" spans="6:9" s="56" customFormat="1" x14ac:dyDescent="0.3">
      <c r="F182" s="89" t="s">
        <v>63</v>
      </c>
      <c r="G182" s="89" t="s">
        <v>65</v>
      </c>
      <c r="H182" s="53">
        <f t="shared" si="34"/>
        <v>8374874.5999999996</v>
      </c>
      <c r="I182" s="81">
        <f t="shared" si="35"/>
        <v>1.2984267130607815E-2</v>
      </c>
    </row>
    <row r="183" spans="6:9" s="56" customFormat="1" x14ac:dyDescent="0.3">
      <c r="F183" s="89" t="s">
        <v>66</v>
      </c>
      <c r="G183" s="89" t="s">
        <v>67</v>
      </c>
      <c r="H183" s="53">
        <f t="shared" si="34"/>
        <v>185098269.19550002</v>
      </c>
      <c r="I183" s="81">
        <f t="shared" si="35"/>
        <v>0.28697329660882659</v>
      </c>
    </row>
    <row r="184" spans="6:9" s="56" customFormat="1" x14ac:dyDescent="0.3">
      <c r="F184" s="89" t="s">
        <v>66</v>
      </c>
      <c r="G184" s="89" t="s">
        <v>68</v>
      </c>
      <c r="H184" s="53">
        <f t="shared" si="34"/>
        <v>0</v>
      </c>
      <c r="I184" s="81">
        <f t="shared" si="35"/>
        <v>0</v>
      </c>
    </row>
    <row r="185" spans="6:9" s="56" customFormat="1" x14ac:dyDescent="0.3">
      <c r="F185" s="89" t="s">
        <v>69</v>
      </c>
      <c r="G185" s="89" t="s">
        <v>70</v>
      </c>
      <c r="H185" s="53">
        <f t="shared" si="34"/>
        <v>12070762.139999999</v>
      </c>
      <c r="I185" s="81">
        <f t="shared" si="35"/>
        <v>1.8714310074062154E-2</v>
      </c>
    </row>
    <row r="186" spans="6:9" s="56" customFormat="1" x14ac:dyDescent="0.3">
      <c r="F186" s="89" t="s">
        <v>69</v>
      </c>
      <c r="G186" s="89" t="s">
        <v>71</v>
      </c>
      <c r="H186" s="53">
        <f t="shared" si="34"/>
        <v>43207499.556000009</v>
      </c>
      <c r="I186" s="81">
        <f t="shared" si="35"/>
        <v>6.6988193026880999E-2</v>
      </c>
    </row>
    <row r="187" spans="6:9" s="56" customFormat="1" x14ac:dyDescent="0.3">
      <c r="F187" s="89" t="s">
        <v>69</v>
      </c>
      <c r="G187" s="89" t="s">
        <v>72</v>
      </c>
      <c r="H187" s="53">
        <f t="shared" si="34"/>
        <v>0</v>
      </c>
      <c r="I187" s="81">
        <f t="shared" si="35"/>
        <v>0</v>
      </c>
    </row>
    <row r="188" spans="6:9" s="56" customFormat="1" x14ac:dyDescent="0.3">
      <c r="F188" s="89" t="s">
        <v>69</v>
      </c>
      <c r="G188" s="89" t="s">
        <v>73</v>
      </c>
      <c r="H188" s="53">
        <f t="shared" si="34"/>
        <v>3125969.05</v>
      </c>
      <c r="I188" s="81">
        <f t="shared" si="35"/>
        <v>4.8464507381653617E-3</v>
      </c>
    </row>
    <row r="189" spans="6:9" s="56" customFormat="1" x14ac:dyDescent="0.3">
      <c r="F189" s="89" t="s">
        <v>74</v>
      </c>
      <c r="G189" s="89" t="s">
        <v>75</v>
      </c>
      <c r="H189" s="53">
        <f t="shared" si="34"/>
        <v>4626018.46</v>
      </c>
      <c r="I189" s="81">
        <f t="shared" si="35"/>
        <v>7.1721025453638423E-3</v>
      </c>
    </row>
    <row r="190" spans="6:9" s="56" customFormat="1" x14ac:dyDescent="0.3">
      <c r="F190" s="89"/>
      <c r="G190" s="89"/>
      <c r="H190" s="53"/>
      <c r="I190" s="81"/>
    </row>
    <row r="191" spans="6:9" s="56" customFormat="1" x14ac:dyDescent="0.3">
      <c r="F191" s="73"/>
      <c r="G191" s="73"/>
      <c r="H191" s="73"/>
      <c r="I191" s="91">
        <f>SUM(I171:I190)</f>
        <v>1.0000000000000004</v>
      </c>
    </row>
  </sheetData>
  <autoFilter ref="A2:Z123" xr:uid="{00000000-0009-0000-0000-000002000000}"/>
  <pageMargins left="0.7" right="0.7" top="0.75" bottom="0.75" header="0.3" footer="0.3"/>
  <pageSetup paperSize="9" scale="1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CBF554220BF2499ADD23B390874F60" ma:contentTypeVersion="13" ma:contentTypeDescription="Create a new document." ma:contentTypeScope="" ma:versionID="588d5aa88e7a537abe003b96e7501026">
  <xsd:schema xmlns:xsd="http://www.w3.org/2001/XMLSchema" xmlns:xs="http://www.w3.org/2001/XMLSchema" xmlns:p="http://schemas.microsoft.com/office/2006/metadata/properties" xmlns:ns2="18709e2e-4da8-42d3-bf03-d1d83e4744e5" xmlns:ns3="a23105ca-3395-4058-8284-88e334f7b956" targetNamespace="http://schemas.microsoft.com/office/2006/metadata/properties" ma:root="true" ma:fieldsID="4c3b2962ed315e41f6810f9cc8d3d340" ns2:_="" ns3:_="">
    <xsd:import namespace="18709e2e-4da8-42d3-bf03-d1d83e4744e5"/>
    <xsd:import namespace="a23105ca-3395-4058-8284-88e334f7b9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09e2e-4da8-42d3-bf03-d1d83e4744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105ca-3395-4058-8284-88e334f7b9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CF97F9-3C30-4E02-A131-EF255A73DBA6}">
  <ds:schemaRefs>
    <ds:schemaRef ds:uri="http://purl.org/dc/elements/1.1/"/>
    <ds:schemaRef ds:uri="http://schemas.microsoft.com/office/2006/documentManagement/types"/>
    <ds:schemaRef ds:uri="http://purl.org/dc/dcmitype/"/>
    <ds:schemaRef ds:uri="18709e2e-4da8-42d3-bf03-d1d83e4744e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a23105ca-3395-4058-8284-88e334f7b956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29280C-EC57-4F7D-9224-826BAE60C9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1598C4-31D3-458F-ACAE-38427F114B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Graphs</vt:lpstr>
      <vt:lpstr>Combined</vt:lpstr>
      <vt:lpstr>Existing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Tebogo Moseamedi</dc:creator>
  <cp:lastModifiedBy>Tebogo Moseamedi</cp:lastModifiedBy>
  <dcterms:created xsi:type="dcterms:W3CDTF">2021-11-09T12:39:40Z</dcterms:created>
  <dcterms:modified xsi:type="dcterms:W3CDTF">2022-01-12T13:35:23Z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0x0101006ECBF554220BF2499ADD23B390874F60</vt:lpwstr>
  </property>
</Properties>
</file>