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Tebogo\AppData\Local\Microsoft\Windows\INetCache\Content.Outlook\61L8INQB\"/>
    </mc:Choice>
  </mc:AlternateContent>
  <xr:revisionPtr revIDLastSave="0" documentId="13_ncr:1_{73558587-AC5F-46E9-9759-74D30A0A484B}" xr6:coauthVersionLast="47" xr6:coauthVersionMax="47" xr10:uidLastSave="{00000000-0000-0000-0000-000000000000}"/>
  <bookViews>
    <workbookView xWindow="-108" yWindow="-108" windowWidth="23256" windowHeight="12576" xr2:uid="{50A5ED43-E563-4109-8760-7A6488D186E1}"/>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20" i="2" l="1"/>
  <c r="G120" i="2"/>
  <c r="I117" i="2" s="1"/>
  <c r="M119" i="2"/>
  <c r="M118" i="2"/>
  <c r="M117" i="2"/>
  <c r="M116" i="2"/>
  <c r="I116" i="2"/>
  <c r="M115" i="2"/>
  <c r="M114" i="2"/>
  <c r="M120" i="2" s="1"/>
  <c r="K111" i="2"/>
  <c r="G111" i="2"/>
  <c r="I108" i="2" s="1"/>
  <c r="M110" i="2"/>
  <c r="M109" i="2"/>
  <c r="M108" i="2"/>
  <c r="M107" i="2"/>
  <c r="I107" i="2"/>
  <c r="M106" i="2"/>
  <c r="M105" i="2"/>
  <c r="M104" i="2"/>
  <c r="M103" i="2"/>
  <c r="I103" i="2"/>
  <c r="M102" i="2"/>
  <c r="M101" i="2"/>
  <c r="M100" i="2"/>
  <c r="M99" i="2"/>
  <c r="I99" i="2"/>
  <c r="M98" i="2"/>
  <c r="M97" i="2"/>
  <c r="M96" i="2"/>
  <c r="M95" i="2"/>
  <c r="M111" i="2" s="1"/>
  <c r="I95" i="2"/>
  <c r="K92" i="2"/>
  <c r="M91" i="2" s="1"/>
  <c r="G92" i="2"/>
  <c r="I91" i="2" s="1"/>
  <c r="I90" i="2"/>
  <c r="M89" i="2"/>
  <c r="I89" i="2"/>
  <c r="I88" i="2"/>
  <c r="K84" i="2"/>
  <c r="M82" i="2" s="1"/>
  <c r="G84" i="2"/>
  <c r="I82" i="2" s="1"/>
  <c r="I81" i="2"/>
  <c r="M80" i="2"/>
  <c r="I80" i="2"/>
  <c r="L63" i="2"/>
  <c r="L58" i="2"/>
  <c r="I58" i="2"/>
  <c r="L54" i="2"/>
  <c r="L53" i="2" s="1"/>
  <c r="I54" i="2"/>
  <c r="I53" i="2" s="1"/>
  <c r="J45" i="2"/>
  <c r="J38" i="2"/>
  <c r="J33" i="2"/>
  <c r="J29" i="2"/>
  <c r="J26" i="2"/>
  <c r="J12" i="2"/>
  <c r="J11" i="2"/>
  <c r="J8" i="2"/>
  <c r="I216" i="1"/>
  <c r="I211" i="1"/>
  <c r="L208" i="1"/>
  <c r="G208" i="1"/>
  <c r="L207" i="1"/>
  <c r="I207" i="1"/>
  <c r="L206" i="1"/>
  <c r="I204" i="1"/>
  <c r="I198" i="1"/>
  <c r="I201" i="1" s="1"/>
  <c r="I192" i="1"/>
  <c r="I188" i="1"/>
  <c r="I187" i="1"/>
  <c r="L183" i="1"/>
  <c r="L182" i="1"/>
  <c r="L181" i="1"/>
  <c r="L180" i="1"/>
  <c r="L177" i="1"/>
  <c r="L176" i="1"/>
  <c r="L175" i="1"/>
  <c r="L174" i="1"/>
  <c r="L173" i="1"/>
  <c r="F173" i="1"/>
  <c r="L172" i="1"/>
  <c r="L171" i="1"/>
  <c r="L170" i="1"/>
  <c r="L169" i="1"/>
  <c r="L168" i="1" s="1"/>
  <c r="F168" i="1"/>
  <c r="L167" i="1"/>
  <c r="F166" i="1"/>
  <c r="L166" i="1" s="1"/>
  <c r="L165" i="1"/>
  <c r="L164" i="1"/>
  <c r="L163" i="1"/>
  <c r="L162" i="1"/>
  <c r="L157" i="1"/>
  <c r="L156" i="1"/>
  <c r="L155" i="1"/>
  <c r="L152" i="1"/>
  <c r="L148" i="1"/>
  <c r="L147" i="1"/>
  <c r="L146" i="1"/>
  <c r="L145" i="1"/>
  <c r="L143" i="1" s="1"/>
  <c r="L144" i="1"/>
  <c r="F143" i="1"/>
  <c r="L142" i="1"/>
  <c r="L141" i="1"/>
  <c r="L140" i="1" s="1"/>
  <c r="F140" i="1"/>
  <c r="L139" i="1"/>
  <c r="F139" i="1"/>
  <c r="L138" i="1"/>
  <c r="L137" i="1" s="1"/>
  <c r="F138" i="1"/>
  <c r="F137" i="1"/>
  <c r="L136" i="1"/>
  <c r="J103" i="1"/>
  <c r="J100" i="1"/>
  <c r="J99" i="1"/>
  <c r="I108" i="1" s="1"/>
  <c r="J96" i="1"/>
  <c r="S94" i="1"/>
  <c r="J87" i="1"/>
  <c r="J85" i="1"/>
  <c r="J84" i="1"/>
  <c r="J81" i="1" s="1"/>
  <c r="J77" i="1"/>
  <c r="J76" i="1"/>
  <c r="J75" i="1"/>
  <c r="J72" i="1"/>
  <c r="J69" i="1"/>
  <c r="J68" i="1"/>
  <c r="J67" i="1"/>
  <c r="J66" i="1" s="1"/>
  <c r="J63" i="1"/>
  <c r="J60" i="1"/>
  <c r="J56" i="1"/>
  <c r="J93" i="1" s="1"/>
  <c r="J55" i="1"/>
  <c r="N49" i="1"/>
  <c r="M49" i="1"/>
  <c r="L49" i="1"/>
  <c r="K49" i="1"/>
  <c r="J49" i="1"/>
  <c r="I49" i="1"/>
  <c r="H49" i="1"/>
  <c r="G49" i="1"/>
  <c r="G47" i="1"/>
  <c r="I46" i="1"/>
  <c r="H46" i="1" s="1"/>
  <c r="N43" i="1"/>
  <c r="M43" i="1"/>
  <c r="L43" i="1"/>
  <c r="K43" i="1"/>
  <c r="J43" i="1"/>
  <c r="I43" i="1"/>
  <c r="H43" i="1"/>
  <c r="G43" i="1"/>
  <c r="N40" i="1"/>
  <c r="M40" i="1"/>
  <c r="L40" i="1"/>
  <c r="K40" i="1"/>
  <c r="J40" i="1"/>
  <c r="I40" i="1"/>
  <c r="N34" i="1"/>
  <c r="M34" i="1"/>
  <c r="L34" i="1"/>
  <c r="K34" i="1"/>
  <c r="J34" i="1"/>
  <c r="I34" i="1"/>
  <c r="H34" i="1"/>
  <c r="G34" i="1"/>
  <c r="N32" i="1"/>
  <c r="M32" i="1"/>
  <c r="L32" i="1"/>
  <c r="K32" i="1"/>
  <c r="J32" i="1"/>
  <c r="I32" i="1"/>
  <c r="H32" i="1"/>
  <c r="G32" i="1"/>
  <c r="H30" i="1"/>
  <c r="H36" i="1" s="1"/>
  <c r="G30" i="1"/>
  <c r="M29" i="1"/>
  <c r="M30" i="1" s="1"/>
  <c r="K29" i="1"/>
  <c r="K30" i="1" s="1"/>
  <c r="K36" i="1" s="1"/>
  <c r="J29" i="1"/>
  <c r="L29" i="1" s="1"/>
  <c r="I29" i="1"/>
  <c r="I30" i="1" s="1"/>
  <c r="G29" i="1"/>
  <c r="G206" i="1" s="1"/>
  <c r="I212" i="1" s="1"/>
  <c r="N28" i="1"/>
  <c r="M28" i="1"/>
  <c r="L28" i="1"/>
  <c r="K28" i="1"/>
  <c r="J28" i="1"/>
  <c r="I28" i="1"/>
  <c r="H28" i="1"/>
  <c r="G28" i="1"/>
  <c r="J18" i="1"/>
  <c r="J17" i="1"/>
  <c r="J14" i="1"/>
  <c r="J13" i="1"/>
  <c r="J15" i="1" s="1"/>
  <c r="J16" i="1" s="1"/>
  <c r="J11" i="1"/>
  <c r="J12" i="1" s="1"/>
  <c r="J10" i="1"/>
  <c r="J9" i="1"/>
  <c r="J8" i="1" s="1"/>
  <c r="H37" i="1" l="1"/>
  <c r="H38" i="1"/>
  <c r="I36" i="1"/>
  <c r="J94" i="1"/>
  <c r="J92" i="1" s="1"/>
  <c r="F179" i="1"/>
  <c r="N29" i="1"/>
  <c r="N30" i="1" s="1"/>
  <c r="N36" i="1" s="1"/>
  <c r="L30" i="1"/>
  <c r="L36" i="1" s="1"/>
  <c r="K37" i="1"/>
  <c r="K38" i="1" s="1"/>
  <c r="F153" i="1"/>
  <c r="L153" i="1" s="1"/>
  <c r="M36" i="1"/>
  <c r="G36" i="1"/>
  <c r="J46" i="1"/>
  <c r="J47" i="1" s="1"/>
  <c r="H47" i="1"/>
  <c r="L46" i="1"/>
  <c r="F158" i="1"/>
  <c r="L158" i="1" s="1"/>
  <c r="J95" i="1"/>
  <c r="J30" i="1"/>
  <c r="J36" i="1" s="1"/>
  <c r="I47" i="1"/>
  <c r="K46" i="1"/>
  <c r="F161" i="1"/>
  <c r="I79" i="2"/>
  <c r="I83" i="2"/>
  <c r="I97" i="2"/>
  <c r="I101" i="2"/>
  <c r="I105" i="2"/>
  <c r="I109" i="2"/>
  <c r="I114" i="2"/>
  <c r="I118" i="2"/>
  <c r="I189" i="1"/>
  <c r="M79" i="2"/>
  <c r="M83" i="2"/>
  <c r="M88" i="2"/>
  <c r="I98" i="2"/>
  <c r="I102" i="2"/>
  <c r="I106" i="2"/>
  <c r="I110" i="2"/>
  <c r="I115" i="2"/>
  <c r="I119" i="2"/>
  <c r="M81" i="2"/>
  <c r="M90" i="2"/>
  <c r="I87" i="2"/>
  <c r="I92" i="2" s="1"/>
  <c r="I96" i="2"/>
  <c r="I111" i="2" s="1"/>
  <c r="I100" i="2"/>
  <c r="I104" i="2"/>
  <c r="M87" i="2"/>
  <c r="I136" i="1" l="1"/>
  <c r="S95" i="1"/>
  <c r="F154" i="1"/>
  <c r="L154" i="1" s="1"/>
  <c r="M37" i="1"/>
  <c r="M38" i="1" s="1"/>
  <c r="M84" i="2"/>
  <c r="L47" i="1"/>
  <c r="N46" i="1"/>
  <c r="N47" i="1" s="1"/>
  <c r="J37" i="1"/>
  <c r="J38" i="1" s="1"/>
  <c r="F151" i="1"/>
  <c r="L151" i="1" s="1"/>
  <c r="I37" i="1"/>
  <c r="I38" i="1" s="1"/>
  <c r="M92" i="2"/>
  <c r="I84" i="2"/>
  <c r="F160" i="1"/>
  <c r="H39" i="1"/>
  <c r="H40" i="1" s="1"/>
  <c r="L161" i="1"/>
  <c r="G39" i="1"/>
  <c r="G40" i="1" s="1"/>
  <c r="I120" i="2"/>
  <c r="M46" i="1"/>
  <c r="M47" i="1" s="1"/>
  <c r="K47" i="1"/>
  <c r="F150" i="1"/>
  <c r="G37" i="1"/>
  <c r="G38" i="1" s="1"/>
  <c r="L37" i="1"/>
  <c r="L38" i="1" s="1"/>
  <c r="F178" i="1"/>
  <c r="L179" i="1"/>
  <c r="N37" i="1"/>
  <c r="N38" i="1" s="1"/>
  <c r="L150" i="1" l="1"/>
  <c r="L149" i="1" s="1"/>
  <c r="F149" i="1"/>
  <c r="F184" i="1" s="1"/>
  <c r="G41" i="1"/>
  <c r="J19" i="1"/>
  <c r="N41" i="1"/>
  <c r="J41" i="1"/>
  <c r="L41" i="1"/>
  <c r="M41" i="1"/>
  <c r="K41" i="1"/>
  <c r="I41" i="1"/>
  <c r="I214" i="1"/>
  <c r="I215" i="1" s="1"/>
  <c r="I218" i="1" s="1"/>
  <c r="L178" i="1"/>
  <c r="L160" i="1"/>
  <c r="L159" i="1" s="1"/>
  <c r="F159" i="1"/>
  <c r="H41" i="1"/>
  <c r="I184" i="1"/>
  <c r="L184" i="1" s="1"/>
  <c r="I137" i="1"/>
  <c r="I138" i="1" l="1"/>
  <c r="I140" i="1"/>
  <c r="I139" i="1"/>
  <c r="I141" i="1" l="1"/>
  <c r="I142" i="1"/>
  <c r="I143" i="1"/>
  <c r="I144" i="1" l="1"/>
  <c r="I147" i="1"/>
  <c r="I148" i="1" s="1"/>
  <c r="I149" i="1" s="1"/>
  <c r="I146" i="1"/>
  <c r="I145" i="1"/>
  <c r="I151" i="1" l="1"/>
  <c r="I153" i="1"/>
  <c r="I154" i="1" s="1"/>
  <c r="I152" i="1"/>
  <c r="I150" i="1"/>
  <c r="I155" i="1" l="1"/>
  <c r="I156" i="1" s="1"/>
  <c r="I158" i="1"/>
  <c r="I159" i="1" s="1"/>
  <c r="I166" i="1" l="1"/>
  <c r="I167" i="1" s="1"/>
  <c r="I168" i="1" s="1"/>
  <c r="I163" i="1"/>
  <c r="I162" i="1"/>
  <c r="I160" i="1"/>
  <c r="I161" i="1"/>
  <c r="I165" i="1"/>
  <c r="I164" i="1"/>
  <c r="I109" i="1"/>
  <c r="I110" i="1" s="1"/>
  <c r="I157" i="1"/>
  <c r="I171" i="1" l="1"/>
  <c r="I172" i="1" s="1"/>
  <c r="I173" i="1" s="1"/>
  <c r="I169" i="1"/>
  <c r="I170" i="1"/>
  <c r="I174" i="1" l="1"/>
  <c r="I175" i="1"/>
  <c r="I176" i="1" s="1"/>
  <c r="I177" i="1" s="1"/>
  <c r="I178" i="1" s="1"/>
  <c r="I183" i="1" l="1"/>
  <c r="I182" i="1"/>
  <c r="I179" i="1"/>
  <c r="I180" i="1" s="1"/>
  <c r="I18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tc={C81E132D-E8E1-4B5A-9620-AE27DDF6B5AB}</author>
    <author>tc={1A889801-A279-46CE-90CC-485E4FA7E0EE}</author>
    <author>tc={7D322BD5-296C-4CBA-94AD-DF0B2778D0F9}</author>
    <author>tc={1D624D92-DB27-4559-A41A-670CD75E98F0}</author>
    <author>tc={42834C9D-4F97-4B4E-9634-6E2B23FA03BE}</author>
    <author>tc={77186858-8D81-4497-918C-5763AE434F31}</author>
    <author>tc={4B33713E-1C3B-4BEA-83C2-1D900614C6E4}</author>
    <author>tc={A95B80D5-5CAB-48B4-BF34-DEAF7C8E0E9D}</author>
    <author>tc={C832232A-9EFD-4086-854B-F956F5A78CBE}</author>
    <author>tc={CBF5F0D5-BC1E-4E99-B7AD-381E50B2572F}</author>
    <author>tc={FCAF2FB2-3A5C-41D6-AA8D-E72009BCCCE8}</author>
    <author>tc={93810DEE-7677-41DA-8CE7-0BEBFB1F2B11}</author>
    <author>tc={E7D9D27D-7A55-4D65-96BB-3025BD3DAD8D}</author>
    <author>tc={5FA19B40-33D2-47EF-AFE0-FB1CD75661FB}</author>
    <author>tc={AC378304-26B0-42BF-B633-ECD0ABD81428}</author>
    <author>tc={24948A1D-9306-4088-9854-A92EA58FC13C}</author>
    <author>tc={CFC86993-7645-4D4E-A7BD-D7901FE8816F}</author>
    <author>tc={483AB352-D3CB-4AC4-81C4-149F77BD2167}</author>
    <author>tc={299C7F1F-8A48-42FE-AA77-3FE3F9301F4B}</author>
    <author>tc={E58B1B7E-2455-415A-A277-4071B85A6603}</author>
    <author>tc={DC8AB4D6-7B94-4280-9BE4-A0699051D99F}</author>
    <author>tc={E01E8571-F95F-45B7-B8F2-CFAF27C84A91}</author>
    <author>tc={F1CC100D-68CD-4024-9D77-A8286D7ACE18}</author>
    <author>tc={B1A96E7C-E883-45E9-8D3B-DA37E0A73D94}</author>
    <author>tc={ED66AB64-28BE-4815-9D44-240D6D0C3D2F}</author>
    <author>tc={3269FFAF-ACB4-4733-90C8-6B96E1388259}</author>
    <author>tc={8C4D536F-2674-4265-8701-AB27A9528EFC}</author>
    <author>tc={FAAE844B-4BDB-4B55-85B9-2E3974310235}</author>
    <author>tc={33711F30-44DE-4CAF-888C-9A686C5D7273}</author>
    <author>tc={9C032D35-1FBC-43DA-B4EC-1CC99E51CD12}</author>
    <author>tc={5C882AF7-D9B2-4282-BDD0-B300FA15069B}</author>
    <author>tc={A802672D-4161-47BD-8E07-E3F34BAD9C18}</author>
    <author>tc={7C91087E-184F-4713-B82D-59F2A45F65F8}</author>
    <author>tc={7AA63C0F-AD45-499F-9A42-62C3DDBF5A94}</author>
    <author>tc={490C9334-D165-43FA-A021-8731506BCF36}</author>
    <author>tc={672FB4EF-29D2-488B-B152-553509B4D540}</author>
    <author>tc={686C7D69-01A8-4B4F-AEB2-DD957B9B16CB}</author>
    <author>tc={C1566932-BFA1-4EAB-99AC-D8AB24447571}</author>
    <author>tc={1936C534-26E1-4B8B-ACC6-78A8EE16B6BC}</author>
    <author>tc={A2D9FA94-7DEB-4E31-9420-611C288FC208}</author>
    <author>tc={95B4355F-590B-4F0A-95DB-550E5269C998}</author>
  </authors>
  <commentList>
    <comment ref="C8" authorId="0" shapeId="0" xr:uid="{C81E132D-E8E1-4B5A-9620-AE27DDF6B5AB}">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1A889801-A279-46CE-90CC-485E4FA7E0EE}">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7D322BD5-296C-4CBA-94AD-DF0B2778D0F9}">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1D624D92-DB27-4559-A41A-670CD75E98F0}">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42834C9D-4F97-4B4E-9634-6E2B23FA03BE}">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77186858-8D81-4497-918C-5763AE434F31}">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75" authorId="6" shapeId="0" xr:uid="{4B33713E-1C3B-4BEA-83C2-1D900614C6E4}">
      <text>
        <t>[Threaded comment]
Your version of Excel allows you to read this threaded comment; however, any edits to it will get removed if the file is opened in a newer version of Excel. Learn more: https://go.microsoft.com/fwlink/?linkid=870924
Comment:
    Substitution sales?</t>
      </text>
    </comment>
    <comment ref="C81" authorId="7" shapeId="0" xr:uid="{A95B80D5-5CAB-48B4-BF34-DEAF7C8E0E9D}">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99" authorId="8" shapeId="0" xr:uid="{C832232A-9EFD-4086-854B-F956F5A78CBE}">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0" authorId="9" shapeId="0" xr:uid="{CBF5F0D5-BC1E-4E99-B7AD-381E50B2572F}">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4" authorId="10" shapeId="0" xr:uid="{FCAF2FB2-3A5C-41D6-AA8D-E72009BCCCE8}">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5" authorId="11" shapeId="0" xr:uid="{93810DEE-7677-41DA-8CE7-0BEBFB1F2B11}">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1" authorId="12" shapeId="0" xr:uid="{E7D9D27D-7A55-4D65-96BB-3025BD3DAD8D}">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0" authorId="13" shapeId="0" xr:uid="{5FA19B40-33D2-47EF-AFE0-FB1CD75661FB}">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2" authorId="14" shapeId="0" xr:uid="{AC378304-26B0-42BF-B633-ECD0ABD81428}">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6" authorId="15" shapeId="0" xr:uid="{24948A1D-9306-4088-9854-A92EA58FC13C}">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37" authorId="16" shapeId="0" xr:uid="{CFC86993-7645-4D4E-A7BD-D7901FE8816F}">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0" authorId="17" shapeId="0" xr:uid="{483AB352-D3CB-4AC4-81C4-149F77BD2167}">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3" authorId="18" shapeId="0" xr:uid="{299C7F1F-8A48-42FE-AA77-3FE3F9301F4B}">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47" authorId="19" shapeId="0" xr:uid="{E58B1B7E-2455-415A-A277-4071B85A6603}">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48" authorId="20" shapeId="0" xr:uid="{DC8AB4D6-7B94-4280-9BE4-A0699051D99F}">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49" authorId="21" shapeId="0" xr:uid="{E01E8571-F95F-45B7-B8F2-CFAF27C84A91}">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3" authorId="22" shapeId="0" xr:uid="{F1CC100D-68CD-4024-9D77-A8286D7ACE18}">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4" authorId="23" shapeId="0" xr:uid="{B1A96E7C-E883-45E9-8D3B-DA37E0A73D94}">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5" authorId="24" shapeId="0" xr:uid="{ED66AB64-28BE-4815-9D44-240D6D0C3D2F}">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6" authorId="25" shapeId="0" xr:uid="{3269FFAF-ACB4-4733-90C8-6B96E1388259}">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57" authorId="26" shapeId="0" xr:uid="{8C4D536F-2674-4265-8701-AB27A9528EFC}">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58" authorId="27" shapeId="0" xr:uid="{FAAE844B-4BDB-4B55-85B9-2E3974310235}">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59" authorId="28" shapeId="0" xr:uid="{33711F30-44DE-4CAF-888C-9A686C5D7273}">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6" authorId="29" shapeId="0" xr:uid="{9C032D35-1FBC-43DA-B4EC-1CC99E51CD12}">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67" authorId="30" shapeId="0" xr:uid="{5C882AF7-D9B2-4282-BDD0-B300FA15069B}">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68" authorId="31" shapeId="0" xr:uid="{A802672D-4161-47BD-8E07-E3F34BAD9C18}">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1" authorId="32" shapeId="0" xr:uid="{7C91087E-184F-4713-B82D-59F2A45F65F8}">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2" authorId="33" shapeId="0" xr:uid="{7AA63C0F-AD45-499F-9A42-62C3DDBF5A94}">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3" authorId="34" shapeId="0" xr:uid="{490C9334-D165-43FA-A021-8731506BCF36}">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5" authorId="35" shapeId="0" xr:uid="{672FB4EF-29D2-488B-B152-553509B4D540}">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6" authorId="36" shapeId="0" xr:uid="{686C7D69-01A8-4B4F-AEB2-DD957B9B16CB}">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77" authorId="37" shapeId="0" xr:uid="{C1566932-BFA1-4EAB-99AC-D8AB24447571}">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78" authorId="38" shapeId="0" xr:uid="{1936C534-26E1-4B8B-ACC6-78A8EE16B6BC}">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2" authorId="39" shapeId="0" xr:uid="{A2D9FA94-7DEB-4E31-9420-611C288FC208}">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3" authorId="40" shapeId="0" xr:uid="{95B4355F-590B-4F0A-95DB-550E5269C998}">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<sst xmlns="http://schemas.openxmlformats.org/spreadsheetml/2006/main" count="396" uniqueCount="335">
  <si>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</si>
  <si>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</si>
  <si>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</si>
  <si>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</si>
  <si>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</si>
  <si>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</si>
  <si>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</si>
  <si>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</si>
  <si>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</si>
  <si>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</si>
  <si>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</si>
  <si>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</si>
  <si>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</si>
  <si>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</si>
  <si>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</si>
  <si>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</si>
  <si>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</si>
  <si>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</si>
  <si>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</si>
  <si>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</si>
  <si>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</si>
  <si>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</si>
  <si>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A2</t>
  </si>
  <si>
    <t>Class A5</t>
  </si>
  <si>
    <t>Class B</t>
  </si>
  <si>
    <t>Class C</t>
  </si>
  <si>
    <t>ISIN Code</t>
  </si>
  <si>
    <t>ZAG000175001</t>
  </si>
  <si>
    <t>ZAG000183567</t>
  </si>
  <si>
    <t>ZAG000175019</t>
  </si>
  <si>
    <t>ZAG000183542</t>
  </si>
  <si>
    <t>ZAG000175035</t>
  </si>
  <si>
    <t>ZAG000183591</t>
  </si>
  <si>
    <t>ZAG000175043</t>
  </si>
  <si>
    <t>ZAG000183609</t>
  </si>
  <si>
    <t>JSE Listing Code</t>
  </si>
  <si>
    <t>UU1A01</t>
  </si>
  <si>
    <t>UU1A04</t>
  </si>
  <si>
    <t>UU1A02</t>
  </si>
  <si>
    <t>UU1A05</t>
  </si>
  <si>
    <t>UU1B01</t>
  </si>
  <si>
    <t>UU1C01</t>
  </si>
  <si>
    <t>UU1C02</t>
  </si>
  <si>
    <t>Rate type</t>
  </si>
  <si>
    <t>Floating</t>
  </si>
  <si>
    <t xml:space="preserve">Margin for Interest Rate </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</si>
  <si>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</si>
  <si>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</si>
  <si>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</si>
  <si>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</si>
  <si>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</si>
  <si>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</si>
  <si>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</si>
  <si>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</si>
  <si>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</si>
  <si>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</si>
  <si>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</si>
  <si>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</si>
  <si>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</si>
  <si>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</si>
  <si>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</si>
  <si>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</si>
  <si>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</si>
  <si>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</si>
  <si>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</si>
  <si>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</si>
  <si>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</si>
  <si>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</si>
  <si>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</si>
  <si>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</si>
  <si>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</si>
  <si>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</si>
  <si>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</si>
  <si>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</si>
  <si>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</si>
  <si>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</si>
  <si>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</si>
  <si>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</si>
  <si>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</si>
  <si>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</si>
  <si>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</si>
  <si>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</si>
  <si>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</si>
  <si>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</si>
  <si>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</si>
  <si>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</si>
  <si>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</si>
  <si>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</si>
  <si>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</si>
  <si>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</si>
  <si>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</si>
  <si>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</si>
  <si>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</si>
  <si>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</si>
  <si>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</si>
  <si>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</si>
  <si>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</si>
  <si>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</si>
  <si>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</si>
  <si>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</si>
  <si>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</si>
  <si>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</si>
  <si>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</si>
  <si>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</si>
  <si>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</si>
  <si>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</si>
  <si>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</si>
  <si>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</si>
  <si>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</si>
  <si>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</si>
  <si>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</si>
  <si>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</si>
  <si>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</si>
  <si>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</si>
  <si>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</si>
  <si>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</si>
  <si>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</si>
  <si>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</si>
  <si>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</si>
  <si>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</si>
  <si>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</si>
  <si>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</si>
  <si>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</si>
  <si>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</si>
  <si>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</si>
  <si>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</si>
  <si>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</si>
  <si>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</si>
  <si>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</si>
  <si>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</si>
  <si>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</si>
  <si>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</si>
  <si>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</si>
  <si>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</si>
  <si>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</si>
  <si>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</si>
  <si>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</si>
  <si>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</si>
  <si>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</si>
  <si>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A2 on IPD (Y/N)</t>
  </si>
  <si>
    <t>Class A Notes Outstanding (Y/N) and</t>
  </si>
  <si>
    <t>Interest Payment Date prior to Latest Coupon Step-Up Date; or</t>
  </si>
  <si>
    <t>Is Class B and Class C ratio &lt; 2x ratio as at latest Issue Date (Y/N); or</t>
  </si>
  <si>
    <t xml:space="preserve">Outstand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</si>
  <si>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</si>
  <si>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</si>
  <si>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</si>
  <si>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</si>
  <si>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</si>
  <si>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</si>
  <si>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</si>
  <si>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</si>
  <si>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</si>
  <si>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</si>
  <si>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</si>
  <si>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</si>
  <si>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</si>
  <si>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</si>
  <si>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</si>
  <si>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</si>
  <si>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</si>
  <si>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</si>
  <si>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</si>
  <si>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</si>
  <si>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</si>
  <si>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</si>
  <si>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</si>
  <si>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</si>
  <si>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</si>
  <si>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</si>
  <si>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Class A1 &amp; Class A4</t>
  </si>
  <si>
    <t>Class A2 &amp; Class A5</t>
  </si>
  <si>
    <t>Class A3</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</si>
  <si>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</si>
  <si>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</si>
  <si>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</si>
  <si>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</si>
  <si>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</si>
  <si>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</si>
  <si>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</si>
  <si>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</si>
  <si>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</si>
  <si>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</si>
  <si>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</si>
  <si>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</si>
  <si>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</si>
  <si>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</si>
  <si>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</si>
  <si>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</si>
  <si>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</si>
  <si>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</si>
  <si>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</si>
  <si>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</si>
  <si>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</si>
  <si>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</si>
  <si>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</si>
  <si>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</si>
  <si>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</si>
  <si>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</si>
  <si>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</si>
  <si>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</si>
  <si>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</si>
  <si>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</si>
  <si>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</si>
  <si>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</si>
  <si>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</si>
  <si>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</si>
  <si>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</si>
  <si>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</si>
  <si>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</si>
  <si>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</si>
  <si>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</si>
  <si>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</si>
  <si>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</si>
  <si>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</si>
  <si>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</si>
  <si>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</si>
  <si>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</si>
  <si>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</si>
  <si>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</si>
  <si>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</si>
  <si>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</si>
  <si>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</si>
  <si>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</si>
  <si>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</si>
  <si>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</si>
  <si>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</si>
  <si>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</si>
  <si>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</si>
  <si>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</si>
  <si>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</si>
  <si>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</si>
  <si>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</si>
  <si>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</si>
  <si>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</si>
  <si>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</si>
  <si>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</si>
  <si>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</si>
  <si>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</si>
  <si>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</si>
  <si>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</si>
  <si>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N/A</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</si>
  <si>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</si>
  <si>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</si>
  <si>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</si>
  <si>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</si>
  <si>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</si>
  <si>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</si>
  <si>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</si>
  <si>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</si>
  <si>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</si>
  <si>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</si>
  <si>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</si>
  <si>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</si>
  <si>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</si>
  <si>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</si>
  <si>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</si>
  <si>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</si>
  <si>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</si>
  <si>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</si>
  <si>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</si>
  <si>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</si>
  <si>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</si>
  <si>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</si>
  <si>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</si>
  <si>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</si>
  <si>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</si>
  <si>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</si>
  <si>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</si>
  <si>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</si>
  <si>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</si>
  <si>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Partial and Full Prepayments:</t>
  </si>
  <si>
    <t>Insurance Proceeds:</t>
  </si>
  <si>
    <t>Enforcement proceeds:</t>
  </si>
  <si>
    <t>Recoveries and disposal proceeds:</t>
  </si>
  <si>
    <t>Ordinary Disposals</t>
  </si>
  <si>
    <t>Substitution Disposals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</si>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</sst>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 #,##0_-;_-* &quot;-&quot;??_-;_-@_-"/>
    <numFmt numFmtId="166" formatCode="_(* #,##0_);_(* \(#,##0\);_(* &quot;-&quot;??_);_(@_)"/>
    <numFmt numFmtId="167" formatCode="0.000%"/>
  </numFmts>
  <fonts count="15">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b/>
      <u/>
      <sz val="11"/>
      <color theme="1"/>
      <name val="Calibri"/>
      <family val="2"/>
      <scheme val="minor"/>
    </font>
    <font>
      <u/>
      <sz val="11"/>
      <color theme="1"/>
      <name val="Calibri (Body)"/>
    </font>
    <font>
      <b/>
      <i/>
      <sz val="11"/>
      <color theme="1"/>
      <name val="Calibri"/>
      <family val="2"/>
      <scheme val="minor"/>
    </font>
    <font>
      <b/>
      <i/>
      <sz val="11"/>
      <name val="Calibri"/>
      <family val="2"/>
      <scheme val="minor"/>
    </font>
    <font>
      <i/>
      <sz val="11"/>
      <color rgb="FFFF0000"/>
      <name val="Calibri"/>
      <family val="2"/>
      <scheme val="minor"/>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49">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xf numFmtId="0" fontId="2" fillId="5" borderId="12" xfId="0" applyFont="1" applyFill="1" applyBorder="1"/>
    <xf numFmtId="0" fontId="2" fillId="5" borderId="13" xfId="0" applyFont="1" applyFill="1" applyBorder="1"/>
    <xf numFmtId="0" fontId="2" fillId="5" borderId="14" xfId="0" applyFont="1" applyFill="1" applyBorder="1"/>
    <xf numFmtId="0" fontId="2" fillId="5" borderId="17" xfId="0" applyFont="1" applyFill="1" applyBorder="1"/>
    <xf numFmtId="0" fontId="2" fillId="5" borderId="18" xfId="0" applyFont="1" applyFill="1" applyBorder="1"/>
    <xf numFmtId="0" fontId="2" fillId="5" borderId="19" xfId="0" applyFont="1" applyFill="1" applyBorder="1"/>
    <xf numFmtId="0" fontId="2" fillId="5" borderId="25" xfId="0" applyFont="1" applyFill="1" applyBorder="1"/>
    <xf numFmtId="0" fontId="2" fillId="5" borderId="27" xfId="0" applyFont="1" applyFill="1" applyBorder="1"/>
    <xf numFmtId="0" fontId="2" fillId="5" borderId="17" xfId="0" applyFont="1" applyFill="1" applyBorder="1" applyAlignment="1">
      <alignment horizontal="left" vertical="center"/>
    </xf>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0" fontId="2" fillId="5" borderId="29" xfId="0" applyFont="1" applyFill="1" applyBorder="1"/>
    <xf numFmtId="0" fontId="2" fillId="5" borderId="30" xfId="0" applyFont="1" applyFill="1" applyBorder="1"/>
    <xf numFmtId="0" fontId="2" fillId="5" borderId="31" xfId="0" applyFont="1" applyFill="1" applyBorder="1"/>
    <xf numFmtId="0" fontId="2" fillId="5" borderId="18" xfId="0" applyFont="1" applyFill="1" applyBorder="1" applyAlignment="1">
      <alignment horizontal="left" vertical="center"/>
    </xf>
    <xf numFmtId="0" fontId="2" fillId="5" borderId="29" xfId="0" applyFont="1" applyFill="1" applyBorder="1" applyAlignment="1">
      <alignment horizontal="left" vertical="center"/>
    </xf>
    <xf numFmtId="0" fontId="2" fillId="5" borderId="6" xfId="0" applyFont="1" applyFill="1" applyBorder="1"/>
    <xf numFmtId="0" fontId="2" fillId="5" borderId="7" xfId="0" applyFont="1" applyFill="1" applyBorder="1"/>
    <xf numFmtId="0" fontId="0" fillId="5" borderId="28" xfId="0" applyFill="1" applyBorder="1"/>
    <xf numFmtId="0" fontId="2" fillId="5" borderId="20" xfId="0" applyFont="1" applyFill="1" applyBorder="1"/>
    <xf numFmtId="0" fontId="2" fillId="5" borderId="34" xfId="0" applyFont="1" applyFill="1" applyBorder="1"/>
    <xf numFmtId="0" fontId="2" fillId="5" borderId="4" xfId="0" applyFont="1" applyFill="1" applyBorder="1"/>
    <xf numFmtId="0" fontId="0" fillId="5" borderId="0" xfId="0" applyFill="1"/>
    <xf numFmtId="0" fontId="0" fillId="3" borderId="25" xfId="0" applyFill="1" applyBorder="1" applyAlignment="1">
      <alignment horizontal="center"/>
    </xf>
    <xf numFmtId="0" fontId="0" fillId="3" borderId="20" xfId="0" applyFill="1" applyBorder="1" applyAlignment="1">
      <alignment horizontal="center"/>
    </xf>
    <xf numFmtId="0" fontId="6" fillId="3" borderId="34" xfId="0" applyFont="1" applyFill="1" applyBorder="1" applyAlignment="1">
      <alignment horizontal="center"/>
    </xf>
    <xf numFmtId="0" fontId="0" fillId="3" borderId="34" xfId="0" applyFill="1" applyBorder="1" applyAlignment="1">
      <alignment horizontal="center"/>
    </xf>
    <xf numFmtId="10" fontId="5" fillId="3" borderId="25" xfId="0" applyNumberFormat="1" applyFont="1" applyFill="1" applyBorder="1"/>
    <xf numFmtId="10" fontId="5" fillId="3" borderId="25" xfId="2" applyNumberFormat="1" applyFont="1" applyFill="1" applyBorder="1" applyAlignment="1"/>
    <xf numFmtId="10" fontId="5" fillId="3" borderId="20" xfId="2" applyNumberFormat="1" applyFont="1" applyFill="1" applyBorder="1" applyAlignment="1"/>
    <xf numFmtId="10" fontId="5" fillId="3" borderId="34" xfId="2" applyNumberFormat="1" applyFont="1" applyFill="1" applyBorder="1" applyAlignment="1"/>
    <xf numFmtId="165" fontId="5" fillId="3" borderId="25" xfId="1" applyNumberFormat="1" applyFont="1" applyFill="1" applyBorder="1" applyAlignment="1"/>
    <xf numFmtId="165" fontId="5" fillId="3" borderId="20" xfId="1" applyNumberFormat="1" applyFont="1" applyFill="1" applyBorder="1" applyAlignment="1"/>
    <xf numFmtId="165" fontId="5" fillId="3" borderId="34" xfId="1" applyNumberFormat="1" applyFont="1" applyFill="1" applyBorder="1" applyAlignment="1"/>
    <xf numFmtId="0" fontId="0" fillId="5" borderId="29" xfId="0" applyFill="1" applyBorder="1" applyAlignment="1">
      <alignment horizontal="left" indent="1"/>
    </xf>
    <xf numFmtId="10" fontId="7" fillId="3" borderId="34" xfId="2" applyNumberFormat="1" applyFont="1" applyFill="1" applyBorder="1" applyAlignment="1"/>
    <xf numFmtId="165" fontId="7" fillId="3" borderId="25" xfId="1" applyNumberFormat="1" applyFont="1" applyFill="1" applyBorder="1" applyAlignment="1"/>
    <xf numFmtId="165" fontId="7" fillId="3" borderId="20" xfId="1" applyNumberFormat="1" applyFont="1" applyFill="1" applyBorder="1" applyAlignment="1"/>
    <xf numFmtId="165" fontId="7" fillId="3" borderId="34" xfId="1" applyNumberFormat="1" applyFont="1" applyFill="1" applyBorder="1" applyAlignment="1"/>
    <xf numFmtId="10" fontId="7" fillId="3" borderId="25" xfId="2" applyNumberFormat="1" applyFont="1" applyFill="1" applyBorder="1" applyAlignment="1"/>
    <xf numFmtId="10" fontId="7" fillId="3" borderId="20" xfId="2" applyNumberFormat="1" applyFont="1" applyFill="1" applyBorder="1" applyAlignment="1"/>
    <xf numFmtId="0" fontId="0" fillId="5" borderId="4" xfId="0" applyFill="1" applyBorder="1" applyAlignment="1">
      <alignment horizontal="left" indent="1"/>
    </xf>
    <xf numFmtId="15" fontId="7" fillId="3" borderId="25" xfId="0" applyNumberFormat="1" applyFont="1" applyFill="1" applyBorder="1"/>
    <xf numFmtId="15" fontId="7" fillId="3" borderId="20" xfId="0" applyNumberFormat="1" applyFont="1" applyFill="1" applyBorder="1"/>
    <xf numFmtId="15" fontId="7" fillId="3" borderId="21" xfId="0" applyNumberFormat="1" applyFont="1" applyFill="1" applyBorder="1"/>
    <xf numFmtId="0" fontId="5" fillId="3" borderId="25" xfId="0" applyFont="1" applyFill="1" applyBorder="1" applyAlignment="1">
      <alignment horizontal="center"/>
    </xf>
    <xf numFmtId="0" fontId="5" fillId="3" borderId="20" xfId="0" applyFont="1" applyFill="1" applyBorder="1" applyAlignment="1">
      <alignment horizontal="center"/>
    </xf>
    <xf numFmtId="0" fontId="5" fillId="3" borderId="34" xfId="0" applyFont="1" applyFill="1" applyBorder="1" applyAlignment="1">
      <alignment horizontal="center"/>
    </xf>
    <xf numFmtId="0" fontId="2" fillId="5" borderId="35" xfId="0" applyFont="1" applyFill="1" applyBorder="1"/>
    <xf numFmtId="0" fontId="0" fillId="5" borderId="36" xfId="0" applyFill="1" applyBorder="1"/>
    <xf numFmtId="0" fontId="5" fillId="3" borderId="37" xfId="0" applyFont="1" applyFill="1" applyBorder="1" applyAlignment="1">
      <alignment horizontal="center"/>
    </xf>
    <xf numFmtId="0" fontId="5" fillId="3" borderId="32" xfId="0" applyFont="1" applyFill="1" applyBorder="1" applyAlignment="1">
      <alignment horizontal="center"/>
    </xf>
    <xf numFmtId="0" fontId="5" fillId="3" borderId="38" xfId="0" applyFont="1" applyFill="1" applyBorder="1" applyAlignment="1">
      <alignment horizontal="center"/>
    </xf>
    <xf numFmtId="165" fontId="0" fillId="2" borderId="0" xfId="0" applyNumberFormat="1" applyFill="1"/>
    <xf numFmtId="4" fontId="0" fillId="2" borderId="0" xfId="0" applyNumberFormat="1" applyFill="1"/>
    <xf numFmtId="0" fontId="2" fillId="5" borderId="22" xfId="0" applyFont="1" applyFill="1" applyBorder="1"/>
    <xf numFmtId="0" fontId="0" fillId="5" borderId="23" xfId="0" applyFill="1" applyBorder="1"/>
    <xf numFmtId="0" fontId="0" fillId="5" borderId="24" xfId="0" applyFill="1" applyBorder="1"/>
    <xf numFmtId="43" fontId="0" fillId="2" borderId="0" xfId="0" applyNumberFormat="1" applyFill="1"/>
    <xf numFmtId="0" fontId="0" fillId="5" borderId="30" xfId="0" applyFill="1" applyBorder="1"/>
    <xf numFmtId="165" fontId="1" fillId="3" borderId="5" xfId="1" applyNumberFormat="1" applyFont="1" applyFill="1" applyBorder="1" applyAlignment="1"/>
    <xf numFmtId="0" fontId="0" fillId="5" borderId="26" xfId="0" applyFill="1" applyBorder="1"/>
    <xf numFmtId="0" fontId="0" fillId="5" borderId="17" xfId="0" applyFill="1" applyBorder="1" applyAlignment="1">
      <alignment horizontal="left" indent="1"/>
    </xf>
    <xf numFmtId="0" fontId="0" fillId="5" borderId="18" xfId="0" applyFill="1" applyBorder="1"/>
    <xf numFmtId="0" fontId="0" fillId="5" borderId="19" xfId="0" applyFill="1" applyBorder="1"/>
    <xf numFmtId="165" fontId="0" fillId="3" borderId="5" xfId="1" applyNumberFormat="1" applyFont="1" applyFill="1" applyBorder="1" applyAlignment="1"/>
    <xf numFmtId="0" fontId="0" fillId="5" borderId="4" xfId="0" applyFill="1" applyBorder="1" applyAlignment="1">
      <alignment horizontal="left" indent="2"/>
    </xf>
    <xf numFmtId="165" fontId="0" fillId="3" borderId="0" xfId="1" applyNumberFormat="1" applyFont="1" applyFill="1" applyBorder="1" applyAlignment="1">
      <alignment horizontal="right"/>
    </xf>
    <xf numFmtId="165" fontId="0" fillId="3" borderId="42" xfId="1" applyNumberFormat="1" applyFont="1" applyFill="1" applyBorder="1" applyAlignment="1"/>
    <xf numFmtId="0" fontId="2" fillId="5" borderId="22" xfId="0" applyFont="1" applyFill="1" applyBorder="1" applyAlignment="1">
      <alignment horizontal="left"/>
    </xf>
    <xf numFmtId="165" fontId="0" fillId="2" borderId="0" xfId="1" applyNumberFormat="1" applyFont="1" applyFill="1"/>
    <xf numFmtId="165" fontId="1" fillId="3" borderId="5" xfId="1" applyNumberFormat="1" applyFont="1" applyFill="1" applyBorder="1" applyAlignment="1">
      <alignment horizontal="right"/>
    </xf>
    <xf numFmtId="165" fontId="1" fillId="3" borderId="0" xfId="1" applyNumberFormat="1" applyFont="1" applyFill="1" applyBorder="1" applyAlignment="1">
      <alignment horizontal="right"/>
    </xf>
    <xf numFmtId="165" fontId="1" fillId="3" borderId="0" xfId="1" applyNumberFormat="1" applyFont="1" applyFill="1" applyBorder="1" applyAlignment="1"/>
    <xf numFmtId="165" fontId="1" fillId="3" borderId="42" xfId="1" applyNumberFormat="1" applyFont="1" applyFill="1" applyBorder="1" applyAlignment="1">
      <alignment horizontal="right"/>
    </xf>
    <xf numFmtId="0" fontId="2" fillId="5" borderId="4" xfId="0" applyFont="1" applyFill="1" applyBorder="1" applyAlignment="1">
      <alignment horizontal="left"/>
    </xf>
    <xf numFmtId="0" fontId="0" fillId="5" borderId="6" xfId="0" applyFill="1" applyBorder="1" applyAlignment="1">
      <alignment horizontal="left" indent="1"/>
    </xf>
    <xf numFmtId="0" fontId="0" fillId="5" borderId="7" xfId="0" applyFill="1" applyBorder="1"/>
    <xf numFmtId="0" fontId="0" fillId="3" borderId="8" xfId="0" applyFill="1" applyBorder="1"/>
    <xf numFmtId="0" fontId="0" fillId="3" borderId="0" xfId="0" applyFill="1" applyAlignment="1">
      <alignment horizontal="left" indent="1"/>
    </xf>
    <xf numFmtId="164" fontId="0" fillId="2" borderId="0" xfId="1" applyFont="1" applyFill="1"/>
    <xf numFmtId="0" fontId="8" fillId="5" borderId="23" xfId="0" applyFont="1" applyFill="1" applyBorder="1" applyAlignment="1">
      <alignment horizontal="center"/>
    </xf>
    <xf numFmtId="0" fontId="8" fillId="5" borderId="24" xfId="0" applyFont="1" applyFill="1" applyBorder="1" applyAlignment="1">
      <alignment horizontal="center"/>
    </xf>
    <xf numFmtId="165" fontId="0" fillId="3" borderId="5" xfId="0" applyNumberFormat="1" applyFill="1" applyBorder="1"/>
    <xf numFmtId="164" fontId="2" fillId="2" borderId="0" xfId="1" applyFont="1" applyFill="1"/>
    <xf numFmtId="0" fontId="0" fillId="5" borderId="44" xfId="0" applyFill="1" applyBorder="1"/>
    <xf numFmtId="165" fontId="0" fillId="3" borderId="8" xfId="1" applyNumberFormat="1" applyFont="1" applyFill="1" applyBorder="1" applyAlignment="1"/>
    <xf numFmtId="164" fontId="0" fillId="3" borderId="0" xfId="1" applyFont="1" applyFill="1" applyBorder="1" applyAlignment="1">
      <alignment horizontal="right"/>
    </xf>
    <xf numFmtId="164" fontId="0" fillId="3" borderId="0" xfId="1" applyFont="1" applyFill="1" applyBorder="1" applyAlignment="1"/>
    <xf numFmtId="0" fontId="2" fillId="5" borderId="17" xfId="0" applyFont="1" applyFill="1" applyBorder="1" applyAlignment="1">
      <alignment horizontal="left"/>
    </xf>
    <xf numFmtId="0" fontId="2" fillId="5" borderId="29" xfId="0" applyFont="1" applyFill="1" applyBorder="1" applyAlignment="1">
      <alignment horizontal="left"/>
    </xf>
    <xf numFmtId="0" fontId="2" fillId="5" borderId="6" xfId="0" applyFont="1" applyFill="1" applyBorder="1" applyAlignment="1">
      <alignment horizontal="left"/>
    </xf>
    <xf numFmtId="0" fontId="2" fillId="5" borderId="44" xfId="0" applyFont="1" applyFill="1" applyBorder="1"/>
    <xf numFmtId="0" fontId="8" fillId="7" borderId="4" xfId="0" applyFont="1" applyFill="1" applyBorder="1" applyAlignment="1">
      <alignment horizontal="center"/>
    </xf>
    <xf numFmtId="0" fontId="8" fillId="7" borderId="0" xfId="0" applyFont="1" applyFill="1" applyAlignment="1">
      <alignment horizontal="center"/>
    </xf>
    <xf numFmtId="0" fontId="5" fillId="3" borderId="5" xfId="0" applyFont="1" applyFill="1" applyBorder="1"/>
    <xf numFmtId="0" fontId="0" fillId="5" borderId="22" xfId="0" applyFill="1" applyBorder="1" applyAlignment="1">
      <alignment horizontal="left" indent="1"/>
    </xf>
    <xf numFmtId="0" fontId="2" fillId="5" borderId="24" xfId="0" applyFont="1" applyFill="1" applyBorder="1" applyAlignment="1">
      <alignment horizontal="right"/>
    </xf>
    <xf numFmtId="0" fontId="2" fillId="3" borderId="40" xfId="0" applyFont="1" applyFill="1" applyBorder="1" applyAlignment="1">
      <alignment horizontal="right"/>
    </xf>
    <xf numFmtId="0" fontId="2" fillId="5" borderId="26" xfId="0" applyFont="1" applyFill="1" applyBorder="1" applyAlignment="1">
      <alignment horizontal="right"/>
    </xf>
    <xf numFmtId="0" fontId="0" fillId="3" borderId="0" xfId="0" applyFill="1" applyAlignment="1">
      <alignment horizontal="right"/>
    </xf>
    <xf numFmtId="0" fontId="2" fillId="3" borderId="5" xfId="0" applyFont="1" applyFill="1" applyBorder="1" applyAlignment="1">
      <alignment horizontal="right"/>
    </xf>
    <xf numFmtId="0" fontId="2" fillId="5" borderId="19" xfId="0" applyFont="1" applyFill="1" applyBorder="1" applyAlignment="1">
      <alignment horizontal="right"/>
    </xf>
    <xf numFmtId="0" fontId="2" fillId="5" borderId="44" xfId="0" applyFont="1" applyFill="1" applyBorder="1" applyAlignment="1">
      <alignment horizontal="right"/>
    </xf>
    <xf numFmtId="165" fontId="5" fillId="3" borderId="0" xfId="1" applyNumberFormat="1" applyFont="1" applyFill="1" applyBorder="1" applyAlignment="1">
      <alignment horizontal="center"/>
    </xf>
    <xf numFmtId="165" fontId="5" fillId="3" borderId="26" xfId="1" applyNumberFormat="1" applyFont="1" applyFill="1" applyBorder="1" applyAlignment="1">
      <alignment horizontal="center"/>
    </xf>
    <xf numFmtId="165" fontId="5" fillId="3" borderId="5" xfId="1" applyNumberFormat="1" applyFont="1" applyFill="1" applyBorder="1" applyAlignment="1">
      <alignment horizontal="center"/>
    </xf>
    <xf numFmtId="165" fontId="5" fillId="3" borderId="18" xfId="1" applyNumberFormat="1" applyFont="1" applyFill="1" applyBorder="1" applyAlignment="1">
      <alignment horizontal="center"/>
    </xf>
    <xf numFmtId="165" fontId="5" fillId="3" borderId="19" xfId="1" applyNumberFormat="1" applyFont="1" applyFill="1" applyBorder="1" applyAlignment="1">
      <alignment horizontal="center"/>
    </xf>
    <xf numFmtId="165" fontId="5" fillId="3" borderId="42" xfId="1" applyNumberFormat="1" applyFont="1" applyFill="1" applyBorder="1" applyAlignment="1">
      <alignment horizontal="center"/>
    </xf>
    <xf numFmtId="165" fontId="5" fillId="3" borderId="19" xfId="1" applyNumberFormat="1" applyFont="1" applyFill="1" applyBorder="1" applyAlignment="1">
      <alignment horizontal="right"/>
    </xf>
    <xf numFmtId="165" fontId="5" fillId="3" borderId="42" xfId="1" applyNumberFormat="1" applyFont="1" applyFill="1" applyBorder="1" applyAlignment="1">
      <alignment horizontal="right"/>
    </xf>
    <xf numFmtId="165" fontId="5" fillId="3" borderId="26" xfId="1" applyNumberFormat="1" applyFont="1" applyFill="1" applyBorder="1" applyAlignment="1">
      <alignment horizontal="right"/>
    </xf>
    <xf numFmtId="165" fontId="5" fillId="3" borderId="5" xfId="1" applyNumberFormat="1" applyFont="1" applyFill="1" applyBorder="1" applyAlignment="1">
      <alignment horizontal="right"/>
    </xf>
    <xf numFmtId="0" fontId="2" fillId="7" borderId="35" xfId="0" applyFont="1" applyFill="1" applyBorder="1" applyAlignment="1">
      <alignment horizontal="left"/>
    </xf>
    <xf numFmtId="0" fontId="0" fillId="7" borderId="36" xfId="0" applyFill="1" applyBorder="1"/>
    <xf numFmtId="0" fontId="0" fillId="7" borderId="45" xfId="0" applyFill="1" applyBorder="1"/>
    <xf numFmtId="0" fontId="8" fillId="5" borderId="28" xfId="0" applyFont="1" applyFill="1" applyBorder="1" applyAlignment="1">
      <alignment horizontal="center"/>
    </xf>
    <xf numFmtId="0" fontId="8" fillId="5" borderId="30" xfId="0" applyFont="1" applyFill="1" applyBorder="1" applyAlignment="1">
      <alignment horizontal="center"/>
    </xf>
    <xf numFmtId="0" fontId="2" fillId="5" borderId="35" xfId="0" applyFont="1" applyFill="1" applyBorder="1" applyAlignment="1">
      <alignment horizontal="left"/>
    </xf>
    <xf numFmtId="0" fontId="8" fillId="5" borderId="36" xfId="0" applyFont="1" applyFill="1" applyBorder="1" applyAlignment="1">
      <alignment horizontal="center"/>
    </xf>
    <xf numFmtId="0" fontId="8" fillId="5" borderId="45"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2" fillId="3" borderId="0" xfId="0" applyFont="1" applyFill="1" applyAlignment="1">
      <alignment horizontal="right"/>
    </xf>
    <xf numFmtId="0" fontId="2" fillId="5" borderId="23" xfId="0" applyFont="1" applyFill="1" applyBorder="1"/>
    <xf numFmtId="0" fontId="6" fillId="5" borderId="23" xfId="0" applyFont="1" applyFill="1" applyBorder="1"/>
    <xf numFmtId="0" fontId="6" fillId="5" borderId="24" xfId="0" applyFont="1" applyFill="1" applyBorder="1"/>
    <xf numFmtId="10" fontId="0" fillId="2" borderId="0" xfId="0" applyNumberFormat="1" applyFill="1"/>
    <xf numFmtId="0" fontId="8" fillId="5" borderId="7" xfId="0" applyFont="1" applyFill="1" applyBorder="1" applyAlignment="1">
      <alignment horizontal="center"/>
    </xf>
    <xf numFmtId="0" fontId="8" fillId="5" borderId="44" xfId="0" applyFont="1" applyFill="1" applyBorder="1" applyAlignment="1">
      <alignment horizontal="center"/>
    </xf>
    <xf numFmtId="0" fontId="0" fillId="3" borderId="6" xfId="0" applyFill="1" applyBorder="1"/>
    <xf numFmtId="0" fontId="0" fillId="3" borderId="7" xfId="0" applyFill="1" applyBorder="1"/>
    <xf numFmtId="0" fontId="2" fillId="2" borderId="0" xfId="0" applyFont="1" applyFill="1"/>
    <xf numFmtId="166" fontId="0" fillId="2" borderId="0" xfId="0" applyNumberFormat="1" applyFill="1"/>
    <xf numFmtId="164" fontId="0" fillId="2" borderId="0" xfId="0" applyNumberFormat="1" applyFill="1"/>
    <xf numFmtId="16" fontId="0" fillId="2" borderId="0" xfId="0" applyNumberFormat="1" applyFill="1"/>
    <xf numFmtId="0" fontId="2" fillId="5" borderId="4" xfId="0" applyFont="1" applyFill="1" applyBorder="1" applyAlignment="1">
      <alignment horizontal="left" vertical="center"/>
    </xf>
    <xf numFmtId="0" fontId="2" fillId="5" borderId="23" xfId="0" applyFont="1" applyFill="1" applyBorder="1" applyAlignment="1">
      <alignment horizontal="left" vertical="center"/>
    </xf>
    <xf numFmtId="0" fontId="2" fillId="5" borderId="36" xfId="0" applyFont="1" applyFill="1" applyBorder="1"/>
    <xf numFmtId="0" fontId="0" fillId="5" borderId="23" xfId="0" applyFill="1" applyBorder="1" applyAlignment="1">
      <alignment horizontal="center"/>
    </xf>
    <xf numFmtId="0" fontId="0" fillId="5" borderId="24" xfId="0" applyFill="1" applyBorder="1" applyAlignment="1">
      <alignment horizontal="center"/>
    </xf>
    <xf numFmtId="0" fontId="0" fillId="5" borderId="0" xfId="0" applyFill="1" applyAlignment="1">
      <alignment horizontal="center"/>
    </xf>
    <xf numFmtId="0" fontId="0" fillId="5" borderId="4" xfId="0" applyFill="1" applyBorder="1" applyAlignment="1">
      <alignment horizontal="left"/>
    </xf>
    <xf numFmtId="165" fontId="6" fillId="3" borderId="5" xfId="1" applyNumberFormat="1" applyFont="1" applyFill="1" applyBorder="1" applyAlignment="1">
      <alignment horizontal="center"/>
    </xf>
    <xf numFmtId="165" fontId="6" fillId="3" borderId="42" xfId="1" applyNumberFormat="1" applyFont="1" applyFill="1" applyBorder="1" applyAlignment="1">
      <alignment horizontal="center"/>
    </xf>
    <xf numFmtId="0" fontId="0" fillId="5" borderId="26" xfId="0" applyFill="1" applyBorder="1" applyAlignment="1">
      <alignment horizontal="center"/>
    </xf>
    <xf numFmtId="165" fontId="0" fillId="3" borderId="5" xfId="1" applyNumberFormat="1" applyFont="1"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9" fontId="0" fillId="2" borderId="0" xfId="2" applyFont="1" applyFill="1"/>
    <xf numFmtId="0" fontId="0" fillId="5" borderId="28" xfId="0" applyFill="1" applyBorder="1" applyAlignment="1">
      <alignment horizontal="center"/>
    </xf>
    <xf numFmtId="0" fontId="0" fillId="5" borderId="30" xfId="0" applyFill="1" applyBorder="1" applyAlignment="1">
      <alignment horizontal="center"/>
    </xf>
    <xf numFmtId="165" fontId="7" fillId="3" borderId="5" xfId="1" applyNumberFormat="1" applyFont="1" applyFill="1" applyBorder="1" applyAlignment="1">
      <alignment horizontal="right"/>
    </xf>
    <xf numFmtId="0" fontId="0" fillId="5" borderId="17" xfId="0" applyFill="1" applyBorder="1" applyAlignment="1">
      <alignment horizontal="left"/>
    </xf>
    <xf numFmtId="165" fontId="7" fillId="3" borderId="42" xfId="1" applyNumberFormat="1" applyFont="1" applyFill="1" applyBorder="1" applyAlignment="1">
      <alignment horizontal="right"/>
    </xf>
    <xf numFmtId="0" fontId="2" fillId="5" borderId="36" xfId="0" applyFont="1" applyFill="1" applyBorder="1" applyAlignment="1">
      <alignment horizontal="center"/>
    </xf>
    <xf numFmtId="0" fontId="2" fillId="5" borderId="45" xfId="0" applyFont="1" applyFill="1" applyBorder="1" applyAlignment="1">
      <alignment horizontal="center"/>
    </xf>
    <xf numFmtId="0" fontId="0" fillId="3" borderId="0" xfId="0" applyFill="1" applyAlignment="1">
      <alignment horizontal="center"/>
    </xf>
    <xf numFmtId="165" fontId="0" fillId="3" borderId="0" xfId="0" applyNumberFormat="1" applyFill="1" applyAlignment="1">
      <alignment horizontal="center"/>
    </xf>
    <xf numFmtId="0" fontId="8" fillId="5" borderId="29" xfId="0" applyFont="1" applyFill="1" applyBorder="1" applyAlignment="1">
      <alignment horizontal="left"/>
    </xf>
    <xf numFmtId="0" fontId="2" fillId="5" borderId="28" xfId="0" applyFont="1" applyFill="1" applyBorder="1" applyAlignment="1">
      <alignment horizontal="center"/>
    </xf>
    <xf numFmtId="0" fontId="2" fillId="5" borderId="23" xfId="0" applyFont="1" applyFill="1" applyBorder="1" applyAlignment="1">
      <alignment horizontal="center"/>
    </xf>
    <xf numFmtId="0" fontId="2" fillId="5" borderId="0" xfId="0" applyFont="1" applyFill="1" applyAlignment="1">
      <alignment horizontal="center"/>
    </xf>
    <xf numFmtId="165" fontId="6" fillId="3" borderId="26" xfId="1" applyNumberFormat="1" applyFont="1" applyFill="1" applyBorder="1" applyAlignment="1">
      <alignment horizontal="center"/>
    </xf>
    <xf numFmtId="0" fontId="13" fillId="5" borderId="4" xfId="0" applyFont="1" applyFill="1" applyBorder="1" applyAlignment="1">
      <alignment horizontal="left" indent="1"/>
    </xf>
    <xf numFmtId="0" fontId="13" fillId="5" borderId="17" xfId="0" applyFont="1" applyFill="1" applyBorder="1" applyAlignment="1">
      <alignment horizontal="left" indent="1"/>
    </xf>
    <xf numFmtId="0" fontId="2" fillId="5" borderId="18" xfId="0" applyFont="1" applyFill="1" applyBorder="1" applyAlignment="1">
      <alignment horizontal="center"/>
    </xf>
    <xf numFmtId="165" fontId="6" fillId="3" borderId="19" xfId="1" applyNumberFormat="1" applyFont="1" applyFill="1" applyBorder="1" applyAlignment="1">
      <alignment horizontal="center"/>
    </xf>
    <xf numFmtId="0" fontId="14" fillId="5" borderId="22" xfId="0" applyFont="1" applyFill="1" applyBorder="1" applyAlignment="1">
      <alignment horizontal="left"/>
    </xf>
    <xf numFmtId="0" fontId="2" fillId="5" borderId="7" xfId="0" applyFont="1" applyFill="1" applyBorder="1" applyAlignment="1">
      <alignment horizontal="center"/>
    </xf>
    <xf numFmtId="0" fontId="0" fillId="5" borderId="29" xfId="0" applyFill="1" applyBorder="1" applyAlignment="1">
      <alignment horizontal="center"/>
    </xf>
    <xf numFmtId="0" fontId="2" fillId="5" borderId="30" xfId="0" applyFont="1" applyFill="1" applyBorder="1" applyAlignment="1">
      <alignment horizontal="center"/>
    </xf>
    <xf numFmtId="0" fontId="2" fillId="5" borderId="25" xfId="0" applyFont="1" applyFill="1" applyBorder="1" applyAlignment="1">
      <alignment horizontal="left"/>
    </xf>
    <xf numFmtId="0" fontId="0" fillId="5" borderId="41" xfId="0" applyFill="1" applyBorder="1" applyAlignment="1">
      <alignment horizontal="left"/>
    </xf>
    <xf numFmtId="165" fontId="5" fillId="3" borderId="20" xfId="1" applyNumberFormat="1" applyFont="1" applyFill="1" applyBorder="1" applyAlignment="1">
      <alignment horizontal="right" wrapText="1"/>
    </xf>
    <xf numFmtId="165" fontId="5" fillId="3" borderId="21" xfId="1"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0" fontId="2" fillId="5" borderId="22" xfId="0" applyFont="1" applyFill="1" applyBorder="1" applyAlignment="1">
      <alignment horizontal="left" vertical="center"/>
    </xf>
    <xf numFmtId="0" fontId="2" fillId="5" borderId="23" xfId="0" applyFont="1" applyFill="1" applyBorder="1" applyAlignment="1">
      <alignment horizontal="left" vertical="center"/>
    </xf>
    <xf numFmtId="0" fontId="2" fillId="5" borderId="26" xfId="0" applyFont="1" applyFill="1" applyBorder="1" applyAlignment="1">
      <alignment horizontal="left" vertical="center"/>
    </xf>
    <xf numFmtId="0" fontId="2" fillId="5" borderId="17" xfId="0" applyFont="1" applyFill="1" applyBorder="1" applyAlignment="1">
      <alignment horizontal="left" vertical="center"/>
    </xf>
    <xf numFmtId="0" fontId="2" fillId="5" borderId="18" xfId="0" applyFont="1" applyFill="1" applyBorder="1" applyAlignment="1">
      <alignment horizontal="left" vertical="center"/>
    </xf>
    <xf numFmtId="0" fontId="2" fillId="5" borderId="19"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0" fontId="2" fillId="5" borderId="24" xfId="0" applyFont="1" applyFill="1" applyBorder="1" applyAlignment="1">
      <alignment horizontal="left" vertical="center"/>
    </xf>
    <xf numFmtId="0" fontId="2" fillId="7" borderId="29" xfId="0" applyFont="1" applyFill="1" applyBorder="1" applyAlignment="1">
      <alignment horizontal="center"/>
    </xf>
    <xf numFmtId="0" fontId="2" fillId="7" borderId="28" xfId="0" applyFont="1" applyFill="1" applyBorder="1" applyAlignment="1">
      <alignment horizontal="center"/>
    </xf>
    <xf numFmtId="0" fontId="2" fillId="7" borderId="34" xfId="0" applyFont="1" applyFill="1" applyBorder="1" applyAlignment="1">
      <alignment horizontal="center"/>
    </xf>
    <xf numFmtId="165" fontId="7" fillId="3" borderId="25" xfId="1" applyNumberFormat="1" applyFont="1" applyFill="1" applyBorder="1" applyAlignment="1">
      <alignment horizontal="right"/>
    </xf>
    <xf numFmtId="165" fontId="7" fillId="3" borderId="28" xfId="1" applyNumberFormat="1" applyFont="1" applyFill="1" applyBorder="1" applyAlignment="1">
      <alignment horizontal="right"/>
    </xf>
    <xf numFmtId="165" fontId="7" fillId="3" borderId="34" xfId="1" applyNumberFormat="1" applyFont="1" applyFill="1" applyBorder="1" applyAlignment="1">
      <alignment horizontal="right"/>
    </xf>
    <xf numFmtId="165" fontId="7" fillId="3" borderId="27" xfId="0" applyNumberFormat="1" applyFont="1" applyFill="1" applyBorder="1" applyAlignment="1">
      <alignment horizontal="right"/>
    </xf>
    <xf numFmtId="165" fontId="7" fillId="3" borderId="23" xfId="0" applyNumberFormat="1" applyFont="1" applyFill="1" applyBorder="1" applyAlignment="1">
      <alignment horizontal="right"/>
    </xf>
    <xf numFmtId="165" fontId="7" fillId="3" borderId="40" xfId="0" applyNumberFormat="1" applyFont="1" applyFill="1" applyBorder="1" applyAlignment="1">
      <alignment horizontal="right"/>
    </xf>
    <xf numFmtId="165" fontId="5" fillId="3" borderId="41" xfId="1" applyNumberFormat="1" applyFont="1" applyFill="1" applyBorder="1" applyAlignment="1">
      <alignment horizontal="right"/>
    </xf>
    <xf numFmtId="165" fontId="5" fillId="3" borderId="0" xfId="1" applyNumberFormat="1" applyFont="1" applyFill="1" applyBorder="1" applyAlignment="1">
      <alignment horizontal="right"/>
    </xf>
    <xf numFmtId="165" fontId="5" fillId="3" borderId="20" xfId="1" applyNumberFormat="1" applyFont="1" applyFill="1" applyBorder="1" applyAlignment="1">
      <alignment horizontal="right"/>
    </xf>
    <xf numFmtId="165" fontId="5" fillId="3" borderId="21" xfId="1" applyNumberFormat="1" applyFont="1" applyFill="1" applyBorder="1" applyAlignment="1">
      <alignment horizontal="right"/>
    </xf>
    <xf numFmtId="0" fontId="0" fillId="3" borderId="32" xfId="0" applyFill="1" applyBorder="1" applyAlignment="1">
      <alignment horizontal="right"/>
    </xf>
    <xf numFmtId="0" fontId="0" fillId="3" borderId="33" xfId="0" applyFill="1" applyBorder="1" applyAlignment="1">
      <alignment horizontal="right"/>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8" fillId="6" borderId="39" xfId="0" applyFont="1" applyFill="1" applyBorder="1" applyAlignment="1">
      <alignment horizontal="center"/>
    </xf>
    <xf numFmtId="165" fontId="5" fillId="3" borderId="31" xfId="1" applyNumberFormat="1" applyFont="1" applyFill="1" applyBorder="1" applyAlignment="1">
      <alignment horizontal="right"/>
    </xf>
    <xf numFmtId="165" fontId="5" fillId="3" borderId="18" xfId="1" applyNumberFormat="1" applyFont="1" applyFill="1" applyBorder="1" applyAlignment="1">
      <alignment horizontal="right"/>
    </xf>
    <xf numFmtId="165" fontId="7" fillId="3" borderId="27" xfId="1" applyNumberFormat="1" applyFont="1" applyFill="1" applyBorder="1" applyAlignment="1">
      <alignment horizontal="right"/>
    </xf>
    <xf numFmtId="165" fontId="7" fillId="3" borderId="23" xfId="1" applyNumberFormat="1" applyFont="1" applyFill="1" applyBorder="1" applyAlignment="1">
      <alignment horizontal="right"/>
    </xf>
    <xf numFmtId="165" fontId="7" fillId="3" borderId="40" xfId="1" applyNumberFormat="1" applyFont="1" applyFill="1" applyBorder="1" applyAlignment="1">
      <alignment horizontal="right"/>
    </xf>
    <xf numFmtId="165" fontId="5" fillId="0" borderId="43" xfId="1" applyNumberFormat="1" applyFont="1" applyFill="1" applyBorder="1" applyAlignment="1">
      <alignment horizontal="right"/>
    </xf>
    <xf numFmtId="165" fontId="5" fillId="0" borderId="7" xfId="1" applyNumberFormat="1" applyFont="1" applyFill="1" applyBorder="1" applyAlignment="1">
      <alignment horizontal="right"/>
    </xf>
    <xf numFmtId="165" fontId="5" fillId="3" borderId="43" xfId="1" applyNumberFormat="1" applyFont="1" applyFill="1" applyBorder="1" applyAlignment="1">
      <alignment horizontal="right"/>
    </xf>
    <xf numFmtId="165" fontId="5" fillId="3" borderId="7" xfId="1" applyNumberFormat="1" applyFont="1" applyFill="1" applyBorder="1" applyAlignment="1">
      <alignment horizontal="right"/>
    </xf>
    <xf numFmtId="164" fontId="5" fillId="3" borderId="25" xfId="1" applyFont="1" applyFill="1" applyBorder="1" applyAlignment="1">
      <alignment horizontal="center"/>
    </xf>
    <xf numFmtId="164" fontId="5" fillId="3" borderId="30" xfId="1" applyFont="1" applyFill="1" applyBorder="1" applyAlignment="1">
      <alignment horizontal="center"/>
    </xf>
    <xf numFmtId="164" fontId="5" fillId="3" borderId="34" xfId="1" applyFont="1" applyFill="1" applyBorder="1" applyAlignment="1">
      <alignment horizontal="center"/>
    </xf>
    <xf numFmtId="164" fontId="5" fillId="3" borderId="37" xfId="1" applyFont="1" applyFill="1" applyBorder="1" applyAlignment="1">
      <alignment horizontal="center"/>
    </xf>
    <xf numFmtId="164" fontId="5" fillId="3" borderId="45" xfId="1" applyFont="1" applyFill="1" applyBorder="1" applyAlignment="1">
      <alignment horizontal="center"/>
    </xf>
    <xf numFmtId="164" fontId="5" fillId="3" borderId="38" xfId="1" applyFont="1" applyFill="1" applyBorder="1" applyAlignment="1">
      <alignment horizontal="center"/>
    </xf>
    <xf numFmtId="165" fontId="5" fillId="3" borderId="31" xfId="0" applyNumberFormat="1" applyFont="1" applyFill="1" applyBorder="1" applyAlignment="1">
      <alignment horizontal="right"/>
    </xf>
    <xf numFmtId="165" fontId="5" fillId="3" borderId="18" xfId="0" applyNumberFormat="1" applyFont="1" applyFill="1" applyBorder="1" applyAlignment="1">
      <alignment horizontal="right"/>
    </xf>
    <xf numFmtId="165" fontId="5" fillId="3" borderId="42" xfId="0" applyNumberFormat="1" applyFont="1" applyFill="1" applyBorder="1" applyAlignment="1">
      <alignment horizontal="right"/>
    </xf>
    <xf numFmtId="165" fontId="5" fillId="0" borderId="31" xfId="0" applyNumberFormat="1" applyFont="1" applyBorder="1" applyAlignment="1">
      <alignment horizontal="right"/>
    </xf>
    <xf numFmtId="165" fontId="5" fillId="0" borderId="18" xfId="0" applyNumberFormat="1" applyFont="1" applyBorder="1" applyAlignment="1">
      <alignment horizontal="right"/>
    </xf>
    <xf numFmtId="165" fontId="5" fillId="0" borderId="42" xfId="0" applyNumberFormat="1" applyFont="1" applyBorder="1" applyAlignment="1">
      <alignment horizontal="right"/>
    </xf>
    <xf numFmtId="164" fontId="5" fillId="3" borderId="43" xfId="0" applyNumberFormat="1" applyFont="1" applyFill="1" applyBorder="1" applyAlignment="1">
      <alignment horizontal="right"/>
    </xf>
    <xf numFmtId="0" fontId="5" fillId="3" borderId="7" xfId="0" applyFont="1" applyFill="1" applyBorder="1" applyAlignment="1">
      <alignment horizontal="right"/>
    </xf>
    <xf numFmtId="0" fontId="5" fillId="3" borderId="8" xfId="0" applyFont="1" applyFill="1" applyBorder="1" applyAlignment="1">
      <alignment horizontal="right"/>
    </xf>
    <xf numFmtId="0" fontId="2" fillId="7" borderId="25" xfId="0" applyFont="1" applyFill="1" applyBorder="1" applyAlignment="1">
      <alignment horizontal="center"/>
    </xf>
    <xf numFmtId="0" fontId="2" fillId="7" borderId="30" xfId="0" applyFont="1" applyFill="1" applyBorder="1" applyAlignment="1">
      <alignment horizontal="center"/>
    </xf>
    <xf numFmtId="0" fontId="2" fillId="7" borderId="27" xfId="0" applyFont="1" applyFill="1" applyBorder="1" applyAlignment="1">
      <alignment horizontal="center"/>
    </xf>
    <xf numFmtId="0" fontId="2" fillId="7" borderId="24" xfId="0" applyFont="1" applyFill="1" applyBorder="1" applyAlignment="1">
      <alignment horizontal="center"/>
    </xf>
    <xf numFmtId="0" fontId="2" fillId="7" borderId="0" xfId="0" applyFont="1" applyFill="1" applyAlignment="1">
      <alignment horizontal="center"/>
    </xf>
    <xf numFmtId="0" fontId="2" fillId="7" borderId="5" xfId="0" applyFont="1" applyFill="1" applyBorder="1" applyAlignment="1">
      <alignment horizontal="center"/>
    </xf>
    <xf numFmtId="0" fontId="0" fillId="3" borderId="41" xfId="0" applyFill="1" applyBorder="1" applyAlignment="1">
      <alignment horizontal="right"/>
    </xf>
    <xf numFmtId="0" fontId="0" fillId="3" borderId="0" xfId="0" applyFill="1" applyAlignment="1">
      <alignment horizontal="right"/>
    </xf>
    <xf numFmtId="0" fontId="5" fillId="3" borderId="41" xfId="0" applyFont="1" applyFill="1" applyBorder="1" applyAlignment="1">
      <alignment horizontal="right"/>
    </xf>
    <xf numFmtId="0" fontId="5" fillId="3" borderId="0" xfId="0" applyFont="1" applyFill="1" applyAlignment="1">
      <alignment horizontal="right"/>
    </xf>
    <xf numFmtId="164" fontId="5" fillId="3" borderId="41" xfId="0" applyNumberFormat="1" applyFont="1" applyFill="1" applyBorder="1" applyAlignment="1">
      <alignment horizontal="right"/>
    </xf>
    <xf numFmtId="164" fontId="5" fillId="3" borderId="0" xfId="0" applyNumberFormat="1" applyFont="1" applyFill="1" applyAlignment="1">
      <alignment horizontal="right"/>
    </xf>
    <xf numFmtId="0" fontId="10" fillId="3" borderId="31" xfId="0" applyFont="1" applyFill="1" applyBorder="1" applyAlignment="1">
      <alignment horizontal="right"/>
    </xf>
    <xf numFmtId="0" fontId="10" fillId="3" borderId="18" xfId="0" applyFont="1" applyFill="1" applyBorder="1" applyAlignment="1">
      <alignment horizontal="right"/>
    </xf>
    <xf numFmtId="0" fontId="10" fillId="3" borderId="42" xfId="0" applyFont="1" applyFill="1" applyBorder="1" applyAlignment="1">
      <alignment horizontal="right"/>
    </xf>
    <xf numFmtId="0" fontId="5" fillId="3" borderId="27" xfId="0" applyFont="1" applyFill="1" applyBorder="1" applyAlignment="1">
      <alignment horizontal="right"/>
    </xf>
    <xf numFmtId="0" fontId="5" fillId="3" borderId="23" xfId="0" applyFont="1" applyFill="1" applyBorder="1" applyAlignment="1">
      <alignment horizontal="right"/>
    </xf>
    <xf numFmtId="0" fontId="2" fillId="5" borderId="29" xfId="0" applyFont="1" applyFill="1" applyBorder="1" applyAlignment="1">
      <alignment horizontal="left" vertical="center"/>
    </xf>
    <xf numFmtId="0" fontId="2" fillId="5" borderId="28" xfId="0" applyFont="1" applyFill="1" applyBorder="1" applyAlignment="1">
      <alignment horizontal="left" vertical="center"/>
    </xf>
    <xf numFmtId="0" fontId="2" fillId="5" borderId="30" xfId="0" applyFont="1" applyFill="1" applyBorder="1" applyAlignment="1">
      <alignment horizontal="left" vertical="center"/>
    </xf>
    <xf numFmtId="0" fontId="2" fillId="5" borderId="25"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25"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34" xfId="0" applyFont="1" applyFill="1" applyBorder="1" applyAlignment="1">
      <alignment horizontal="center" vertical="center"/>
    </xf>
    <xf numFmtId="165" fontId="5" fillId="3" borderId="27" xfId="1" applyNumberFormat="1" applyFont="1" applyFill="1" applyBorder="1" applyAlignment="1">
      <alignment horizontal="right"/>
    </xf>
    <xf numFmtId="165" fontId="5" fillId="3" borderId="23" xfId="1" applyNumberFormat="1" applyFont="1" applyFill="1" applyBorder="1" applyAlignment="1">
      <alignment horizontal="right"/>
    </xf>
    <xf numFmtId="165" fontId="5" fillId="3" borderId="25" xfId="1" applyNumberFormat="1" applyFont="1" applyFill="1" applyBorder="1" applyAlignment="1">
      <alignment horizontal="right"/>
    </xf>
    <xf numFmtId="165" fontId="5" fillId="3" borderId="28" xfId="1" applyNumberFormat="1" applyFont="1" applyFill="1" applyBorder="1" applyAlignment="1">
      <alignment horizontal="right"/>
    </xf>
    <xf numFmtId="165" fontId="5" fillId="3" borderId="30" xfId="1" applyNumberFormat="1" applyFont="1" applyFill="1" applyBorder="1" applyAlignment="1">
      <alignment horizontal="right"/>
    </xf>
    <xf numFmtId="165" fontId="5" fillId="3" borderId="40" xfId="1" applyNumberFormat="1" applyFont="1" applyFill="1" applyBorder="1" applyAlignment="1">
      <alignment horizontal="right"/>
    </xf>
    <xf numFmtId="165" fontId="5" fillId="3" borderId="24" xfId="1" applyNumberFormat="1" applyFont="1" applyFill="1" applyBorder="1" applyAlignment="1">
      <alignment horizontal="right"/>
    </xf>
    <xf numFmtId="164" fontId="5" fillId="3" borderId="41" xfId="1" applyFont="1" applyFill="1" applyBorder="1" applyAlignment="1">
      <alignment horizontal="right"/>
    </xf>
    <xf numFmtId="164" fontId="5" fillId="3" borderId="0" xfId="1" applyFont="1" applyFill="1" applyBorder="1" applyAlignment="1">
      <alignment horizontal="right"/>
    </xf>
    <xf numFmtId="165" fontId="5" fillId="3" borderId="34" xfId="1" applyNumberFormat="1" applyFont="1" applyFill="1" applyBorder="1" applyAlignment="1">
      <alignment horizontal="right"/>
    </xf>
    <xf numFmtId="165" fontId="5" fillId="3" borderId="8" xfId="1" applyNumberFormat="1" applyFont="1" applyFill="1" applyBorder="1" applyAlignment="1">
      <alignment horizontal="right"/>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6" borderId="3" xfId="0" applyFont="1" applyFill="1" applyBorder="1" applyAlignment="1">
      <alignment horizontal="center"/>
    </xf>
    <xf numFmtId="164" fontId="5" fillId="3" borderId="25" xfId="1" applyFont="1" applyFill="1" applyBorder="1" applyAlignment="1">
      <alignment horizontal="right"/>
    </xf>
    <xf numFmtId="164" fontId="5" fillId="3" borderId="28" xfId="1" applyFont="1" applyFill="1" applyBorder="1" applyAlignment="1">
      <alignment horizontal="right"/>
    </xf>
    <xf numFmtId="164" fontId="5" fillId="3" borderId="34" xfId="1" applyFont="1" applyFill="1" applyBorder="1" applyAlignment="1">
      <alignment horizontal="right"/>
    </xf>
    <xf numFmtId="165" fontId="11" fillId="7" borderId="37" xfId="1" applyNumberFormat="1" applyFont="1" applyFill="1" applyBorder="1" applyAlignment="1">
      <alignment horizontal="right"/>
    </xf>
    <xf numFmtId="165" fontId="11" fillId="7" borderId="36" xfId="1" applyNumberFormat="1" applyFont="1" applyFill="1" applyBorder="1" applyAlignment="1">
      <alignment horizontal="right"/>
    </xf>
    <xf numFmtId="165" fontId="11" fillId="7" borderId="45" xfId="1" applyNumberFormat="1" applyFont="1" applyFill="1" applyBorder="1" applyAlignment="1">
      <alignment horizontal="right"/>
    </xf>
    <xf numFmtId="165" fontId="11" fillId="7" borderId="38" xfId="1" applyNumberFormat="1" applyFont="1" applyFill="1" applyBorder="1" applyAlignment="1">
      <alignment horizontal="right"/>
    </xf>
    <xf numFmtId="10" fontId="7" fillId="3" borderId="25" xfId="0" applyNumberFormat="1" applyFont="1" applyFill="1" applyBorder="1" applyAlignment="1">
      <alignment horizontal="center" vertical="center"/>
    </xf>
    <xf numFmtId="10" fontId="7" fillId="3" borderId="28" xfId="0" applyNumberFormat="1" applyFont="1" applyFill="1" applyBorder="1" applyAlignment="1">
      <alignment horizontal="center" vertical="center"/>
    </xf>
    <xf numFmtId="10" fontId="7" fillId="3" borderId="34" xfId="0" applyNumberFormat="1" applyFont="1" applyFill="1" applyBorder="1" applyAlignment="1">
      <alignment horizontal="center" vertical="center"/>
    </xf>
    <xf numFmtId="0" fontId="2" fillId="5" borderId="25" xfId="0" applyFont="1" applyFill="1" applyBorder="1" applyAlignment="1">
      <alignment horizontal="center"/>
    </xf>
    <xf numFmtId="0" fontId="2" fillId="5" borderId="30" xfId="0" applyFont="1" applyFill="1" applyBorder="1" applyAlignment="1">
      <alignment horizontal="center"/>
    </xf>
    <xf numFmtId="0" fontId="2" fillId="5" borderId="28" xfId="0" applyFont="1" applyFill="1" applyBorder="1" applyAlignment="1">
      <alignment horizontal="center"/>
    </xf>
    <xf numFmtId="0" fontId="2" fillId="5" borderId="20" xfId="0" applyFont="1" applyFill="1" applyBorder="1" applyAlignment="1">
      <alignment horizontal="center"/>
    </xf>
    <xf numFmtId="0" fontId="2" fillId="5" borderId="21" xfId="0" applyFont="1" applyFill="1" applyBorder="1" applyAlignment="1">
      <alignment horizontal="center"/>
    </xf>
    <xf numFmtId="166" fontId="5" fillId="3" borderId="25" xfId="1" applyNumberFormat="1" applyFont="1" applyFill="1" applyBorder="1" applyAlignment="1">
      <alignment horizontal="right"/>
    </xf>
    <xf numFmtId="166" fontId="5" fillId="3" borderId="28" xfId="1" applyNumberFormat="1" applyFont="1" applyFill="1" applyBorder="1" applyAlignment="1">
      <alignment horizontal="right"/>
    </xf>
    <xf numFmtId="166" fontId="5" fillId="3" borderId="34" xfId="1" applyNumberFormat="1" applyFont="1" applyFill="1" applyBorder="1" applyAlignment="1">
      <alignment horizontal="right"/>
    </xf>
    <xf numFmtId="165" fontId="5" fillId="3" borderId="37" xfId="1" applyNumberFormat="1" applyFont="1" applyFill="1" applyBorder="1" applyAlignment="1">
      <alignment horizontal="right"/>
    </xf>
    <xf numFmtId="165" fontId="5" fillId="3" borderId="36" xfId="1" applyNumberFormat="1" applyFont="1" applyFill="1" applyBorder="1" applyAlignment="1">
      <alignment horizontal="right"/>
    </xf>
    <xf numFmtId="165" fontId="5" fillId="3" borderId="38" xfId="1" applyNumberFormat="1" applyFont="1" applyFill="1" applyBorder="1" applyAlignment="1">
      <alignment horizontal="right"/>
    </xf>
    <xf numFmtId="14" fontId="5" fillId="3" borderId="41" xfId="0" applyNumberFormat="1" applyFont="1" applyFill="1" applyBorder="1" applyAlignment="1">
      <alignment horizontal="center"/>
    </xf>
    <xf numFmtId="14" fontId="5" fillId="3" borderId="26" xfId="0" applyNumberFormat="1" applyFont="1" applyFill="1" applyBorder="1" applyAlignment="1">
      <alignment horizontal="center"/>
    </xf>
    <xf numFmtId="10" fontId="7" fillId="3" borderId="0" xfId="0" applyNumberFormat="1" applyFont="1" applyFill="1" applyAlignment="1">
      <alignment horizontal="center"/>
    </xf>
    <xf numFmtId="0" fontId="7" fillId="3" borderId="26" xfId="0" applyFont="1" applyFill="1" applyBorder="1" applyAlignment="1">
      <alignment horizontal="center"/>
    </xf>
    <xf numFmtId="166" fontId="7" fillId="3" borderId="41" xfId="1" applyNumberFormat="1" applyFont="1" applyFill="1" applyBorder="1" applyAlignment="1">
      <alignment horizontal="right"/>
    </xf>
    <xf numFmtId="166" fontId="7" fillId="3" borderId="0" xfId="1" applyNumberFormat="1" applyFont="1" applyFill="1" applyBorder="1" applyAlignment="1">
      <alignment horizontal="right"/>
    </xf>
    <xf numFmtId="166" fontId="7" fillId="3" borderId="26" xfId="1" applyNumberFormat="1" applyFont="1" applyFill="1" applyBorder="1" applyAlignment="1">
      <alignment horizontal="right"/>
    </xf>
    <xf numFmtId="166" fontId="7" fillId="3" borderId="41" xfId="0" applyNumberFormat="1" applyFont="1" applyFill="1" applyBorder="1" applyAlignment="1">
      <alignment horizontal="right"/>
    </xf>
    <xf numFmtId="166" fontId="7" fillId="3" borderId="0" xfId="0" applyNumberFormat="1" applyFont="1" applyFill="1" applyAlignment="1">
      <alignment horizontal="right"/>
    </xf>
    <xf numFmtId="166" fontId="7" fillId="3" borderId="5" xfId="0" applyNumberFormat="1" applyFont="1" applyFill="1" applyBorder="1" applyAlignment="1">
      <alignment horizontal="right"/>
    </xf>
    <xf numFmtId="16" fontId="5" fillId="3" borderId="41" xfId="0" applyNumberFormat="1" applyFont="1" applyFill="1" applyBorder="1" applyAlignment="1">
      <alignment horizontal="center"/>
    </xf>
    <xf numFmtId="0" fontId="5" fillId="3" borderId="26" xfId="0" applyFont="1" applyFill="1" applyBorder="1" applyAlignment="1">
      <alignment horizontal="center"/>
    </xf>
    <xf numFmtId="14" fontId="5" fillId="3" borderId="25" xfId="0" applyNumberFormat="1" applyFont="1" applyFill="1" applyBorder="1" applyAlignment="1">
      <alignment horizontal="center"/>
    </xf>
    <xf numFmtId="14" fontId="5" fillId="3" borderId="30" xfId="0" applyNumberFormat="1" applyFont="1" applyFill="1" applyBorder="1" applyAlignment="1">
      <alignment horizontal="center"/>
    </xf>
    <xf numFmtId="10" fontId="5" fillId="3" borderId="25" xfId="0" applyNumberFormat="1" applyFont="1" applyFill="1" applyBorder="1" applyAlignment="1">
      <alignment horizontal="center"/>
    </xf>
    <xf numFmtId="0" fontId="5" fillId="3" borderId="30" xfId="0" applyFont="1" applyFill="1" applyBorder="1" applyAlignment="1">
      <alignment horizontal="center"/>
    </xf>
    <xf numFmtId="166" fontId="7" fillId="3" borderId="25" xfId="0" applyNumberFormat="1" applyFont="1" applyFill="1" applyBorder="1" applyAlignment="1">
      <alignment horizontal="right"/>
    </xf>
    <xf numFmtId="166" fontId="7" fillId="3" borderId="28" xfId="0" applyNumberFormat="1" applyFont="1" applyFill="1" applyBorder="1" applyAlignment="1">
      <alignment horizontal="right"/>
    </xf>
    <xf numFmtId="166" fontId="7" fillId="3" borderId="30" xfId="0" applyNumberFormat="1" applyFont="1" applyFill="1" applyBorder="1" applyAlignment="1">
      <alignment horizontal="right"/>
    </xf>
    <xf numFmtId="166" fontId="7" fillId="3" borderId="34" xfId="0" applyNumberFormat="1" applyFont="1" applyFill="1" applyBorder="1" applyAlignment="1">
      <alignment horizontal="right"/>
    </xf>
    <xf numFmtId="0" fontId="2" fillId="8" borderId="27" xfId="0" applyFont="1" applyFill="1" applyBorder="1" applyAlignment="1">
      <alignment horizontal="center"/>
    </xf>
    <xf numFmtId="0" fontId="2" fillId="8" borderId="24" xfId="0" applyFont="1" applyFill="1" applyBorder="1" applyAlignment="1">
      <alignment horizontal="center"/>
    </xf>
    <xf numFmtId="0" fontId="6" fillId="8" borderId="23" xfId="0" applyFont="1" applyFill="1" applyBorder="1" applyAlignment="1">
      <alignment horizontal="center"/>
    </xf>
    <xf numFmtId="0" fontId="6" fillId="8" borderId="24" xfId="0" applyFont="1" applyFill="1" applyBorder="1" applyAlignment="1">
      <alignment horizontal="center"/>
    </xf>
    <xf numFmtId="166" fontId="7" fillId="8" borderId="27" xfId="1" applyNumberFormat="1" applyFont="1" applyFill="1" applyBorder="1" applyAlignment="1">
      <alignment horizontal="right"/>
    </xf>
    <xf numFmtId="166" fontId="7" fillId="8" borderId="23" xfId="1" applyNumberFormat="1" applyFont="1" applyFill="1" applyBorder="1" applyAlignment="1">
      <alignment horizontal="right"/>
    </xf>
    <xf numFmtId="166" fontId="7" fillId="8" borderId="24" xfId="1" applyNumberFormat="1" applyFont="1" applyFill="1" applyBorder="1" applyAlignment="1">
      <alignment horizontal="right"/>
    </xf>
    <xf numFmtId="166" fontId="7" fillId="8" borderId="27" xfId="0" applyNumberFormat="1" applyFont="1" applyFill="1" applyBorder="1" applyAlignment="1">
      <alignment horizontal="right"/>
    </xf>
    <xf numFmtId="166" fontId="7" fillId="8" borderId="23" xfId="0" applyNumberFormat="1" applyFont="1" applyFill="1" applyBorder="1" applyAlignment="1">
      <alignment horizontal="right"/>
    </xf>
    <xf numFmtId="166" fontId="7" fillId="8" borderId="40" xfId="0" applyNumberFormat="1" applyFont="1" applyFill="1" applyBorder="1" applyAlignment="1">
      <alignment horizontal="right"/>
    </xf>
    <xf numFmtId="166" fontId="7" fillId="3" borderId="37" xfId="0" applyNumberFormat="1" applyFont="1" applyFill="1" applyBorder="1" applyAlignment="1">
      <alignment horizontal="right"/>
    </xf>
    <xf numFmtId="166" fontId="7" fillId="3" borderId="36" xfId="0" applyNumberFormat="1" applyFont="1" applyFill="1" applyBorder="1" applyAlignment="1">
      <alignment horizontal="right"/>
    </xf>
    <xf numFmtId="166" fontId="7" fillId="3" borderId="38" xfId="0" applyNumberFormat="1" applyFont="1" applyFill="1" applyBorder="1" applyAlignment="1">
      <alignment horizontal="right"/>
    </xf>
    <xf numFmtId="0" fontId="5" fillId="3" borderId="31" xfId="0" applyFont="1" applyFill="1" applyBorder="1" applyAlignment="1">
      <alignment horizontal="center"/>
    </xf>
    <xf numFmtId="0" fontId="5" fillId="3" borderId="19" xfId="0" applyFont="1" applyFill="1" applyBorder="1" applyAlignment="1">
      <alignment horizontal="center"/>
    </xf>
    <xf numFmtId="0" fontId="7" fillId="3" borderId="18" xfId="0" applyFont="1" applyFill="1" applyBorder="1" applyAlignment="1">
      <alignment horizontal="center"/>
    </xf>
    <xf numFmtId="0" fontId="7" fillId="3" borderId="19" xfId="0" applyFont="1" applyFill="1" applyBorder="1" applyAlignment="1">
      <alignment horizontal="center"/>
    </xf>
    <xf numFmtId="166" fontId="7" fillId="3" borderId="31" xfId="1" applyNumberFormat="1" applyFont="1" applyFill="1" applyBorder="1" applyAlignment="1">
      <alignment horizontal="right"/>
    </xf>
    <xf numFmtId="166" fontId="7" fillId="3" borderId="18" xfId="1" applyNumberFormat="1" applyFont="1" applyFill="1" applyBorder="1" applyAlignment="1">
      <alignment horizontal="right"/>
    </xf>
    <xf numFmtId="166" fontId="7" fillId="3" borderId="19" xfId="1" applyNumberFormat="1" applyFont="1" applyFill="1" applyBorder="1" applyAlignment="1">
      <alignment horizontal="right"/>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4" xfId="0" applyNumberFormat="1" applyFont="1" applyFill="1" applyBorder="1" applyAlignment="1">
      <alignment horizontal="right" wrapText="1"/>
    </xf>
    <xf numFmtId="0" fontId="0" fillId="3" borderId="20" xfId="0" applyFill="1" applyBorder="1" applyAlignment="1">
      <alignment horizontal="right"/>
    </xf>
    <xf numFmtId="0" fontId="0" fillId="3" borderId="21" xfId="0" applyFill="1" applyBorder="1" applyAlignment="1">
      <alignment horizontal="right"/>
    </xf>
    <xf numFmtId="14" fontId="5" fillId="0" borderId="20" xfId="0" applyNumberFormat="1" applyFont="1" applyBorder="1" applyAlignment="1">
      <alignment horizontal="right" wrapText="1"/>
    </xf>
    <xf numFmtId="14" fontId="5" fillId="0" borderId="21" xfId="0" applyNumberFormat="1" applyFont="1" applyBorder="1" applyAlignment="1">
      <alignment horizontal="right" wrapText="1"/>
    </xf>
    <xf numFmtId="167" fontId="5" fillId="3" borderId="20" xfId="0" applyNumberFormat="1" applyFont="1" applyFill="1" applyBorder="1" applyAlignment="1">
      <alignment horizontal="right" wrapText="1"/>
    </xf>
    <xf numFmtId="167" fontId="5" fillId="3" borderId="21" xfId="0" applyNumberFormat="1" applyFont="1" applyFill="1" applyBorder="1" applyAlignment="1">
      <alignment horizontal="right" wrapText="1"/>
    </xf>
    <xf numFmtId="165" fontId="7" fillId="3" borderId="41" xfId="1" applyNumberFormat="1" applyFont="1" applyFill="1" applyBorder="1" applyAlignment="1">
      <alignment horizontal="right"/>
    </xf>
    <xf numFmtId="165" fontId="7" fillId="3" borderId="0" xfId="1" applyNumberFormat="1" applyFont="1" applyFill="1" applyBorder="1" applyAlignment="1">
      <alignment horizontal="right"/>
    </xf>
    <xf numFmtId="165" fontId="7" fillId="3" borderId="31" xfId="1" applyNumberFormat="1" applyFont="1" applyFill="1" applyBorder="1" applyAlignment="1">
      <alignment horizontal="right"/>
    </xf>
    <xf numFmtId="165" fontId="7" fillId="3" borderId="18" xfId="1" applyNumberFormat="1" applyFont="1" applyFill="1" applyBorder="1" applyAlignment="1">
      <alignment horizontal="right"/>
    </xf>
    <xf numFmtId="165" fontId="7" fillId="0" borderId="23" xfId="1" applyNumberFormat="1" applyFont="1" applyFill="1" applyBorder="1" applyAlignment="1">
      <alignment horizontal="right"/>
    </xf>
    <xf numFmtId="165" fontId="7" fillId="0" borderId="40" xfId="1" applyNumberFormat="1" applyFont="1" applyFill="1" applyBorder="1" applyAlignment="1">
      <alignment horizontal="right"/>
    </xf>
    <xf numFmtId="165" fontId="7" fillId="3" borderId="41" xfId="1" applyNumberFormat="1" applyFont="1" applyFill="1" applyBorder="1" applyAlignment="1">
      <alignment horizontal="center"/>
    </xf>
    <xf numFmtId="165" fontId="7" fillId="3" borderId="0" xfId="1" applyNumberFormat="1" applyFont="1" applyFill="1" applyBorder="1" applyAlignment="1">
      <alignment horizontal="center"/>
    </xf>
    <xf numFmtId="165" fontId="7" fillId="3" borderId="24" xfId="1" applyNumberFormat="1" applyFont="1" applyFill="1" applyBorder="1" applyAlignment="1">
      <alignment horizontal="right"/>
    </xf>
    <xf numFmtId="0" fontId="2" fillId="7" borderId="17" xfId="0" applyFont="1" applyFill="1" applyBorder="1" applyAlignment="1">
      <alignment horizontal="center"/>
    </xf>
    <xf numFmtId="0" fontId="2" fillId="7" borderId="18" xfId="0" applyFont="1" applyFill="1" applyBorder="1" applyAlignment="1">
      <alignment horizontal="center"/>
    </xf>
    <xf numFmtId="0" fontId="2" fillId="7" borderId="42" xfId="0" applyFont="1" applyFill="1" applyBorder="1" applyAlignment="1">
      <alignment horizontal="center"/>
    </xf>
    <xf numFmtId="165" fontId="7" fillId="5" borderId="37" xfId="1" applyNumberFormat="1" applyFont="1" applyFill="1" applyBorder="1" applyAlignment="1">
      <alignment horizontal="center"/>
    </xf>
    <xf numFmtId="165" fontId="7" fillId="5" borderId="36" xfId="1" applyNumberFormat="1" applyFont="1" applyFill="1" applyBorder="1" applyAlignment="1">
      <alignment horizontal="center"/>
    </xf>
    <xf numFmtId="165" fontId="7" fillId="5" borderId="38" xfId="1" applyNumberFormat="1" applyFont="1" applyFill="1" applyBorder="1" applyAlignment="1">
      <alignment horizontal="center"/>
    </xf>
    <xf numFmtId="0" fontId="2" fillId="5" borderId="34" xfId="0" applyFont="1" applyFill="1" applyBorder="1" applyAlignment="1">
      <alignment horizontal="center"/>
    </xf>
    <xf numFmtId="9" fontId="6" fillId="3" borderId="25" xfId="0" applyNumberFormat="1" applyFont="1" applyFill="1" applyBorder="1" applyAlignment="1">
      <alignment horizontal="center"/>
    </xf>
    <xf numFmtId="0" fontId="6" fillId="3" borderId="28" xfId="0" applyFont="1" applyFill="1" applyBorder="1" applyAlignment="1">
      <alignment horizontal="center"/>
    </xf>
    <xf numFmtId="0" fontId="6" fillId="3" borderId="30"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30" xfId="2" applyNumberFormat="1" applyFont="1" applyFill="1" applyBorder="1" applyAlignment="1">
      <alignment horizontal="center"/>
    </xf>
    <xf numFmtId="10"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4" xfId="0" applyFont="1" applyFill="1" applyBorder="1" applyAlignment="1">
      <alignment horizontal="center"/>
    </xf>
    <xf numFmtId="0" fontId="6" fillId="3" borderId="25" xfId="0" applyFont="1" applyFill="1" applyBorder="1" applyAlignment="1">
      <alignment horizontal="center"/>
    </xf>
    <xf numFmtId="10" fontId="7" fillId="3" borderId="28" xfId="0" applyNumberFormat="1" applyFont="1" applyFill="1" applyBorder="1" applyAlignment="1">
      <alignment horizontal="center"/>
    </xf>
    <xf numFmtId="10" fontId="7" fillId="3" borderId="34" xfId="0" applyNumberFormat="1" applyFont="1" applyFill="1" applyBorder="1" applyAlignment="1">
      <alignment horizontal="center"/>
    </xf>
    <xf numFmtId="165" fontId="7" fillId="3" borderId="43" xfId="1" applyNumberFormat="1" applyFont="1" applyFill="1" applyBorder="1" applyAlignment="1">
      <alignment horizontal="right"/>
    </xf>
    <xf numFmtId="165" fontId="7" fillId="3" borderId="7" xfId="1" applyNumberFormat="1" applyFont="1" applyFill="1" applyBorder="1" applyAlignment="1">
      <alignment horizontal="right"/>
    </xf>
    <xf numFmtId="165" fontId="7" fillId="3" borderId="44" xfId="1" applyNumberFormat="1" applyFont="1" applyFill="1" applyBorder="1" applyAlignment="1">
      <alignment horizontal="right"/>
    </xf>
    <xf numFmtId="165" fontId="7" fillId="3" borderId="8" xfId="1" applyNumberFormat="1" applyFont="1" applyFill="1" applyBorder="1" applyAlignment="1">
      <alignment horizontal="right"/>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30" xfId="2" applyFont="1" applyFill="1" applyBorder="1" applyAlignment="1">
      <alignment horizontal="center"/>
    </xf>
    <xf numFmtId="10" fontId="7" fillId="3" borderId="34" xfId="2" applyNumberFormat="1"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4" xfId="0" applyNumberFormat="1" applyFont="1" applyFill="1" applyBorder="1" applyAlignment="1">
      <alignment horizontal="center"/>
    </xf>
    <xf numFmtId="0" fontId="7" fillId="3" borderId="27"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10" fontId="7" fillId="3" borderId="27" xfId="2" applyNumberFormat="1" applyFont="1" applyFill="1" applyBorder="1" applyAlignment="1">
      <alignment horizontal="center"/>
    </xf>
    <xf numFmtId="10" fontId="7" fillId="3" borderId="23" xfId="2" applyNumberFormat="1" applyFont="1" applyFill="1" applyBorder="1" applyAlignment="1">
      <alignment horizontal="center"/>
    </xf>
    <xf numFmtId="10" fontId="7" fillId="3" borderId="24" xfId="2" applyNumberFormat="1" applyFont="1" applyFill="1" applyBorder="1" applyAlignment="1">
      <alignment horizontal="center"/>
    </xf>
    <xf numFmtId="9" fontId="7" fillId="3" borderId="37" xfId="2" applyFont="1" applyFill="1" applyBorder="1" applyAlignment="1">
      <alignment horizontal="center"/>
    </xf>
    <xf numFmtId="9" fontId="7" fillId="3" borderId="36" xfId="2" applyFont="1" applyFill="1" applyBorder="1" applyAlignment="1">
      <alignment horizontal="center"/>
    </xf>
    <xf numFmtId="9" fontId="7" fillId="3" borderId="45" xfId="2" applyFont="1" applyFill="1" applyBorder="1" applyAlignment="1">
      <alignment horizontal="center"/>
    </xf>
    <xf numFmtId="10" fontId="7" fillId="3" borderId="37" xfId="2" applyNumberFormat="1" applyFont="1" applyFill="1" applyBorder="1" applyAlignment="1">
      <alignment horizontal="center"/>
    </xf>
    <xf numFmtId="10" fontId="7" fillId="3" borderId="36" xfId="2" applyNumberFormat="1" applyFont="1" applyFill="1" applyBorder="1" applyAlignment="1">
      <alignment horizontal="center"/>
    </xf>
    <xf numFmtId="10" fontId="7" fillId="3" borderId="45" xfId="2" applyNumberFormat="1" applyFont="1" applyFill="1" applyBorder="1" applyAlignment="1">
      <alignment horizontal="center"/>
    </xf>
    <xf numFmtId="10" fontId="7" fillId="3" borderId="38" xfId="2" applyNumberFormat="1" applyFont="1" applyFill="1" applyBorder="1" applyAlignment="1">
      <alignment horizontal="center"/>
    </xf>
    <xf numFmtId="165" fontId="0" fillId="3" borderId="41" xfId="1" applyNumberFormat="1" applyFont="1" applyFill="1" applyBorder="1" applyAlignment="1">
      <alignment horizontal="center"/>
    </xf>
    <xf numFmtId="165" fontId="0" fillId="3" borderId="26" xfId="1" applyNumberFormat="1" applyFont="1" applyFill="1" applyBorder="1" applyAlignment="1">
      <alignment horizontal="center"/>
    </xf>
    <xf numFmtId="9" fontId="0" fillId="3" borderId="41" xfId="2" applyFont="1" applyFill="1" applyBorder="1" applyAlignment="1">
      <alignment horizontal="center"/>
    </xf>
    <xf numFmtId="9" fontId="0" fillId="3" borderId="26" xfId="2"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165" fontId="0" fillId="3" borderId="31" xfId="1" applyNumberFormat="1" applyFont="1" applyFill="1" applyBorder="1" applyAlignment="1">
      <alignment horizontal="center"/>
    </xf>
    <xf numFmtId="165" fontId="0" fillId="3" borderId="19" xfId="1" applyNumberFormat="1" applyFont="1" applyFill="1" applyBorder="1" applyAlignment="1">
      <alignment horizontal="center"/>
    </xf>
    <xf numFmtId="165" fontId="2" fillId="3" borderId="31" xfId="0" applyNumberFormat="1" applyFont="1" applyFill="1" applyBorder="1" applyAlignment="1">
      <alignment horizontal="center"/>
    </xf>
    <xf numFmtId="0" fontId="2" fillId="3" borderId="19" xfId="0" applyFont="1" applyFill="1" applyBorder="1" applyAlignment="1">
      <alignment horizontal="center"/>
    </xf>
    <xf numFmtId="9" fontId="2" fillId="3" borderId="25" xfId="2" applyFont="1" applyFill="1" applyBorder="1" applyAlignment="1">
      <alignment horizontal="center"/>
    </xf>
    <xf numFmtId="9" fontId="2" fillId="3" borderId="30" xfId="2" applyFont="1" applyFill="1" applyBorder="1" applyAlignment="1">
      <alignment horizontal="center"/>
    </xf>
    <xf numFmtId="165" fontId="2" fillId="3" borderId="25" xfId="0" applyNumberFormat="1" applyFont="1" applyFill="1" applyBorder="1" applyAlignment="1">
      <alignment horizontal="center"/>
    </xf>
    <xf numFmtId="0" fontId="2" fillId="3" borderId="30" xfId="0" applyFont="1" applyFill="1" applyBorder="1" applyAlignment="1">
      <alignment horizontal="center"/>
    </xf>
    <xf numFmtId="9" fontId="2" fillId="3" borderId="25" xfId="0" applyNumberFormat="1" applyFont="1" applyFill="1" applyBorder="1" applyAlignment="1">
      <alignment horizontal="center"/>
    </xf>
    <xf numFmtId="9" fontId="0" fillId="3" borderId="31" xfId="2" applyFont="1" applyFill="1" applyBorder="1" applyAlignment="1">
      <alignment horizontal="center"/>
    </xf>
    <xf numFmtId="9" fontId="0" fillId="3" borderId="19" xfId="2" applyFont="1" applyFill="1" applyBorder="1" applyAlignment="1">
      <alignment horizontal="center"/>
    </xf>
    <xf numFmtId="9" fontId="0" fillId="3" borderId="0" xfId="2" applyFont="1" applyFill="1" applyBorder="1" applyAlignment="1">
      <alignment horizontal="center"/>
    </xf>
    <xf numFmtId="165" fontId="0" fillId="3" borderId="0" xfId="1" applyNumberFormat="1" applyFont="1" applyFill="1" applyBorder="1" applyAlignment="1">
      <alignment horizontal="center"/>
    </xf>
    <xf numFmtId="9" fontId="2" fillId="3" borderId="30" xfId="0" applyNumberFormat="1" applyFont="1" applyFill="1" applyBorder="1" applyAlignment="1">
      <alignment horizontal="center"/>
    </xf>
    <xf numFmtId="165" fontId="2" fillId="3" borderId="25" xfId="1" applyNumberFormat="1" applyFont="1" applyFill="1" applyBorder="1" applyAlignment="1">
      <alignment horizontal="center"/>
    </xf>
    <xf numFmtId="165" fontId="2" fillId="3" borderId="30" xfId="1" applyNumberFormat="1" applyFont="1" applyFill="1" applyBorder="1" applyAlignment="1">
      <alignment horizontal="center"/>
    </xf>
    <xf numFmtId="0" fontId="2" fillId="5" borderId="23" xfId="0" applyFont="1" applyFill="1" applyBorder="1" applyAlignment="1">
      <alignment horizontal="center"/>
    </xf>
    <xf numFmtId="0" fontId="2" fillId="5" borderId="24" xfId="0" applyFont="1" applyFill="1" applyBorder="1" applyAlignment="1">
      <alignment horizontal="center"/>
    </xf>
    <xf numFmtId="165" fontId="2" fillId="3" borderId="31" xfId="1" applyNumberFormat="1" applyFont="1" applyFill="1" applyBorder="1" applyAlignment="1">
      <alignment horizontal="center"/>
    </xf>
    <xf numFmtId="165" fontId="2" fillId="3" borderId="19" xfId="1" applyNumberFormat="1" applyFont="1" applyFill="1" applyBorder="1" applyAlignment="1">
      <alignment horizontal="center"/>
    </xf>
    <xf numFmtId="165" fontId="0" fillId="3" borderId="41" xfId="1" applyNumberFormat="1" applyFont="1" applyFill="1" applyBorder="1" applyAlignment="1">
      <alignment horizontal="right"/>
    </xf>
    <xf numFmtId="165" fontId="0" fillId="3" borderId="0" xfId="1" applyNumberFormat="1" applyFont="1" applyFill="1" applyBorder="1" applyAlignment="1">
      <alignment horizontal="right"/>
    </xf>
    <xf numFmtId="165" fontId="0" fillId="3" borderId="27" xfId="1" applyNumberFormat="1" applyFont="1" applyFill="1" applyBorder="1" applyAlignment="1">
      <alignment horizontal="center"/>
    </xf>
    <xf numFmtId="165" fontId="0" fillId="3" borderId="24" xfId="1" applyNumberFormat="1" applyFont="1" applyFill="1" applyBorder="1" applyAlignment="1">
      <alignment horizontal="center"/>
    </xf>
    <xf numFmtId="165" fontId="2" fillId="3" borderId="25" xfId="1" applyNumberFormat="1" applyFont="1" applyFill="1" applyBorder="1" applyAlignment="1">
      <alignment horizontal="right"/>
    </xf>
    <xf numFmtId="165" fontId="2" fillId="3" borderId="30" xfId="1" applyNumberFormat="1" applyFont="1" applyFill="1" applyBorder="1" applyAlignment="1">
      <alignment horizontal="right"/>
    </xf>
    <xf numFmtId="9" fontId="2" fillId="3" borderId="31" xfId="2" applyFont="1" applyFill="1" applyBorder="1" applyAlignment="1">
      <alignment horizontal="center"/>
    </xf>
    <xf numFmtId="9" fontId="2" fillId="3" borderId="19" xfId="2" applyFont="1" applyFill="1" applyBorder="1" applyAlignment="1">
      <alignment horizontal="center"/>
    </xf>
    <xf numFmtId="9" fontId="0" fillId="3" borderId="18" xfId="2"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idan-John Rothman" id="{08A5BC6D-49E6-421C-AC15-0BB2894032AA}" userId="S::aidanjr@tuhf.co.za::c8103bf9-d923-4b15-b060-0d12264606d3" providerId="AD"/>
  <person displayName="Gunning, Nicholas NCM" id="{68069F6B-1EFC-45FE-B690-DCA43FFD54B4}"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68069F6B-1EFC-45FE-B690-DCA43FFD54B4}" id="{C81E132D-E8E1-4B5A-9620-AE27DDF6B5AB}">
    <text>1.141.13	Administrator Report Date means the fifteenth twelfth day after each Determination Date, or if any such day is not a Business Day, then the immediately succeeding day that is a Business Day;</text>
  </threadedComment>
  <threadedComment ref="C9" dT="2020-07-10T12:16:41.19" personId="{68069F6B-1EFC-45FE-B690-DCA43FFD54B4}" id="{1A889801-A279-46CE-90CC-485E4FA7E0EE}">
    <text>1.1021.100	Determination Date means the last Business Day of [December, March, June and September], save for the first Determination Date which will be the date specified in the APS;</text>
  </threadedComment>
  <threadedComment ref="C12" dT="2020-07-10T12:17:28.82" personId="{68069F6B-1EFC-45FE-B690-DCA43FFD54B4}" id="{7D322BD5-296C-4CBA-94AD-DF0B2778D0F9}">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68069F6B-1EFC-45FE-B690-DCA43FFD54B4}" id="{1D624D92-DB27-4559-A41A-670CD75E98F0}">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68069F6B-1EFC-45FE-B690-DCA43FFD54B4}" id="{42834C9D-4F97-4B4E-9634-6E2B23FA03BE}">
    <text>1.2201.211	Prepayments means principal repayments received under a Loan Agreement in excess of the minimum Instalments which a Borrower is obliged to pay;</text>
  </threadedComment>
  <threadedComment ref="C72" dT="2020-07-10T12:32:40.90" personId="{68069F6B-1EFC-45FE-B690-DCA43FFD54B4}" id="{77186858-8D81-4497-918C-5763AE434F31}">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75" dT="2022-05-12T11:19:36.12" personId="{08A5BC6D-49E6-421C-AC15-0BB2894032AA}" id="{4B33713E-1C3B-4BEA-83C2-1D900614C6E4}">
    <text>Substitution sales?</text>
  </threadedComment>
  <threadedComment ref="C81" dT="2020-07-10T12:14:24.90" personId="{68069F6B-1EFC-45FE-B690-DCA43FFD54B4}" id="{A95B80D5-5CAB-48B4-BF34-DEAF7C8E0E9D}">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99" dT="2020-07-03T14:38:14.35" personId="{68069F6B-1EFC-45FE-B690-DCA43FFD54B4}" id="{C832232A-9EFD-4086-854B-F956F5A78CBE}">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0" dT="2020-07-03T14:39:03.59" personId="{68069F6B-1EFC-45FE-B690-DCA43FFD54B4}" id="{CBF5F0D5-BC1E-4E99-B7AD-381E50B2572F}">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4" dT="2020-07-03T14:39:59.73" personId="{68069F6B-1EFC-45FE-B690-DCA43FFD54B4}" id="{FCAF2FB2-3A5C-41D6-AA8D-E72009BCCCE8}">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5" dT="2020-07-03T14:40:20.29" personId="{68069F6B-1EFC-45FE-B690-DCA43FFD54B4}" id="{93810DEE-7677-41DA-8CE7-0BEBFB1F2B11}">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1" dT="2020-07-06T07:36:37.57" personId="{68069F6B-1EFC-45FE-B690-DCA43FFD54B4}" id="{E7D9D27D-7A55-4D65-96BB-3025BD3DAD8D}">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0" dT="2020-07-06T07:42:12.02" personId="{68069F6B-1EFC-45FE-B690-DCA43FFD54B4}" id="{5FA19B40-33D2-47EF-AFE0-FB1CD75661FB}">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2" dT="2020-07-06T07:42:23.74" personId="{68069F6B-1EFC-45FE-B690-DCA43FFD54B4}" id="{AC378304-26B0-42BF-B633-ECD0ABD81428}">
    <text>1.701.69	Class C Principal Lock-Out shall occur on any Interest Payment Date on which, if prior to the allocation of the Redemption Amount in accordance with the Priority of Payments, there are Class B Notes outstanding;</text>
  </threadedComment>
  <threadedComment ref="C136" dT="2020-07-01T09:26:37.19" personId="{68069F6B-1EFC-45FE-B690-DCA43FFD54B4}" id="{24948A1D-9306-4088-9854-A92EA58FC13C}">
    <text>1.1	first, to pay or provide for the Issuer’s liability or potential liability for Tax;</text>
  </threadedComment>
  <threadedComment ref="C137" dT="2020-07-01T09:26:57.34" personId="{68069F6B-1EFC-45FE-B690-DCA43FFD54B4}" id="{CFC86993-7645-4D4E-A7BD-D7901FE8816F}">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0" dT="2020-07-01T09:27:14.39" personId="{68069F6B-1EFC-45FE-B690-DCA43FFD54B4}" id="{483AB352-D3CB-4AC4-81C4-149F77BD2167}">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3" dT="2020-07-01T09:27:31.91" personId="{68069F6B-1EFC-45FE-B690-DCA43FFD54B4}" id="{299C7F1F-8A48-42FE-AA77-3FE3F9301F4B}">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47" dT="2020-07-01T09:28:08.22" personId="{68069F6B-1EFC-45FE-B690-DCA43FFD54B4}" id="{E58B1B7E-2455-415A-A277-4071B85A6603}">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48" dT="2020-07-01T09:28:21.98" personId="{68069F6B-1EFC-45FE-B690-DCA43FFD54B4}" id="{DC8AB4D6-7B94-4280-9BE4-A0699051D99F}">
    <text>1.6	sixth, to pay all amounts due and payable under the Liquidity Facility other than in respect of principal;</text>
  </threadedComment>
  <threadedComment ref="C149" dT="2020-07-01T09:28:38.95" personId="{68069F6B-1EFC-45FE-B690-DCA43FFD54B4}" id="{E01E8571-F95F-45B7-B8F2-CFAF27C84A91}">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3" dT="2020-07-01T09:28:53.80" personId="{68069F6B-1EFC-45FE-B690-DCA43FFD54B4}" id="{F1CC100D-68CD-4024-9D77-A8286D7ACE18}">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4" dT="2020-07-01T09:29:09.23" personId="{68069F6B-1EFC-45FE-B690-DCA43FFD54B4}" id="{B1A96E7C-E883-45E9-8D3B-DA37E0A73D94}">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5" dT="2020-07-01T09:29:24.56" personId="{68069F6B-1EFC-45FE-B690-DCA43FFD54B4}" id="{ED66AB64-28BE-4815-9D44-240D6D0C3D2F}">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6" dT="2020-07-01T09:29:39.12" personId="{68069F6B-1EFC-45FE-B690-DCA43FFD54B4}" id="{3269FFAF-ACB4-4733-90C8-6B96E1388259}">
    <text>1.11	eleventh, to repay all principal amounts outstanding under the Liquidity Facility as at the immediately preceding Determination Date up to an amount equal to the Potential Redemption Amount;</text>
  </threadedComment>
  <threadedComment ref="C157" dT="2020-07-01T09:30:54.67" personId="{68069F6B-1EFC-45FE-B690-DCA43FFD54B4}" id="{8C4D536F-2674-4265-8701-AB27A9528EFC}">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58" dT="2020-07-01T09:32:55.52" personId="{68069F6B-1EFC-45FE-B690-DCA43FFD54B4}" id="{FAAE844B-4BDB-4B55-85B9-2E3974310235}">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59" dT="2020-07-01T10:02:56.38" personId="{68069F6B-1EFC-45FE-B690-DCA43FFD54B4}" id="{33711F30-44DE-4CAF-888C-9A686C5D7273}">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6" dT="2020-07-01T10:03:22.01" personId="{68069F6B-1EFC-45FE-B690-DCA43FFD54B4}" id="{9C032D35-1FBC-43DA-B4EC-1CC99E51CD12}">
    <text>1.16	sixteenth, to credit the Arrears Reserve up to the Arrears Reserve Required Amount;</text>
  </threadedComment>
  <threadedComment ref="C167" dT="2020-07-01T10:05:05.09" personId="{68069F6B-1EFC-45FE-B690-DCA43FFD54B4}" id="{5C882AF7-D9B2-4282-BDD0-B300FA15069B}">
    <text>1.17	seventeenth, if a Class B Interest Deferral Event has occurred on or prior to such Interest Payment Date, to pay interest due and payable in respect of the Class B Notes;</text>
  </threadedComment>
  <threadedComment ref="C168" dT="2020-07-01T12:04:10.91" personId="{68069F6B-1EFC-45FE-B690-DCA43FFD54B4}" id="{A802672D-4161-47BD-8E07-E3F34BAD9C18}">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1" dT="2020-07-01T10:03:22.01" personId="{68069F6B-1EFC-45FE-B690-DCA43FFD54B4}" id="{7C91087E-184F-4713-B82D-59F2A45F65F8}">
    <text>1.16	sixteenth, to credit the Arrears Reserve up to the Arrears Reserve Required Amount;</text>
  </threadedComment>
  <threadedComment ref="C172" dT="2020-07-01T12:05:33.95" personId="{68069F6B-1EFC-45FE-B690-DCA43FFD54B4}" id="{7AA63C0F-AD45-499F-9A42-62C3DDBF5A94}">
    <text>1.19	nineteenth, if a Class C Interest Deferral Event has occurred on or prior to such Interest Payment Date, to pay interest due and payable in respect of the Class C Notes;</text>
  </threadedComment>
  <threadedComment ref="C173" dT="2020-07-01T12:06:45.00" personId="{68069F6B-1EFC-45FE-B690-DCA43FFD54B4}" id="{490C9334-D165-43FA-A021-8731506BCF36}">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5" dT="2020-07-01T12:08:33.83" personId="{68069F6B-1EFC-45FE-B690-DCA43FFD54B4}" id="{672FB4EF-29D2-488B-B152-553509B4D540}">
    <text>1.21	twenty-first, to pay or provide for pari passu and pro rata the Derivative Termination Amounts due and payable to any Derivative Counterparty under the Derivative Contracts where the Derivative Counterparty is in default;</text>
  </threadedComment>
  <threadedComment ref="C176" dT="2020-07-01T12:32:50.70" personId="{68069F6B-1EFC-45FE-B690-DCA43FFD54B4}" id="{686C7D69-01A8-4B4F-AEB2-DD957B9B16CB}">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77" dT="2020-07-01T12:33:36.96" personId="{68069F6B-1EFC-45FE-B690-DCA43FFD54B4}" id="{C1566932-BFA1-4EAB-99AC-D8AB24447571}">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78" dT="2020-07-01T12:52:53.39" personId="{68069F6B-1EFC-45FE-B690-DCA43FFD54B4}" id="{1936C534-26E1-4B8B-ACC6-78A8EE16B6BC}">
    <text>1.24	twenty-forth, to pay amounts due and payable in respect of the Subordinated Loan;</text>
  </threadedComment>
  <threadedComment ref="C182" dT="2020-07-01T12:53:16.85" personId="{68069F6B-1EFC-45FE-B690-DCA43FFD54B4}" id="{A2D9FA94-7DEB-4E31-9420-611C288FC208}">
    <text>1.25	twenty-fifth, to pay or provide for the dividend due and payable to the Preference Shareholder, net of Taxes; and</text>
  </threadedComment>
  <threadedComment ref="C183" dT="2020-07-01T12:53:33.02" personId="{68069F6B-1EFC-45FE-B690-DCA43FFD54B4}" id="{95B4355F-590B-4F0A-95DB-550E5269C998}">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4FC8C-243E-4D4A-81EE-096DE16C7356}">
  <dimension ref="B1:X236"/>
  <sheetViews>
    <sheetView tabSelected="1" topLeftCell="A200" zoomScale="90" zoomScaleNormal="90" workbookViewId="0">
      <selection activeCell="I214" sqref="I214:N214"/>
    </sheetView>
  </sheetViews>
  <sheetFormatPr defaultColWidth="9.109375" defaultRowHeight="14.4"/>
  <cols>
    <col min="1" max="1" width="9.109375" style="1"/>
    <col min="2" max="2" width="3.44140625" style="1" customWidth="1"/>
    <col min="3" max="3" width="39.109375" style="1" customWidth="1"/>
    <col min="4" max="4" width="11.88671875" style="1" bestFit="1" customWidth="1"/>
    <col min="5" max="5" width="11.44140625" style="1" customWidth="1"/>
    <col min="6" max="6" width="9.109375" style="1"/>
    <col min="7" max="7" width="15.44140625" style="1" customWidth="1"/>
    <col min="8" max="8" width="16" style="1" customWidth="1"/>
    <col min="9" max="9" width="16.109375" style="1" customWidth="1"/>
    <col min="10" max="10" width="18.109375" style="1" customWidth="1"/>
    <col min="11" max="12" width="15.6640625" style="1" customWidth="1"/>
    <col min="13" max="13" width="17.6640625" style="1" bestFit="1" customWidth="1"/>
    <col min="14" max="14" width="17.33203125" style="1" customWidth="1"/>
    <col min="15" max="15" width="4" style="1" customWidth="1"/>
    <col min="16" max="16" width="17.6640625" style="1" customWidth="1"/>
    <col min="17" max="17" width="13.88671875" style="1" bestFit="1" customWidth="1"/>
    <col min="18" max="18" width="14" style="1" customWidth="1"/>
    <col min="19" max="19" width="14.33203125" style="1" hidden="1" customWidth="1"/>
    <col min="20" max="20" width="9.109375" style="1"/>
    <col min="21" max="21" width="13.5546875" style="1" customWidth="1"/>
    <col min="22" max="22" width="9.109375" style="1"/>
    <col min="23" max="23" width="13.5546875" style="1" bestFit="1" customWidth="1"/>
    <col min="24" max="24" width="12.109375" style="1" bestFit="1" customWidth="1"/>
    <col min="25" max="16384" width="9.109375" style="1"/>
  </cols>
  <sheetData>
    <row r="1" spans="2:15" ht="15" thickBot="1"/>
    <row r="2" spans="2:15" ht="15" thickBot="1">
      <c r="B2" s="2"/>
      <c r="C2" s="3"/>
      <c r="D2" s="3"/>
      <c r="E2" s="3"/>
      <c r="F2" s="3"/>
      <c r="G2" s="3"/>
      <c r="H2" s="3"/>
      <c r="I2" s="3"/>
      <c r="J2" s="3"/>
      <c r="K2" s="3"/>
      <c r="L2" s="3"/>
      <c r="M2" s="3"/>
      <c r="N2" s="3"/>
      <c r="O2" s="4"/>
    </row>
    <row r="3" spans="2:15" ht="20.25" customHeight="1">
      <c r="B3" s="5"/>
      <c r="C3" s="194" t="s">
        <v>0</v>
      </c>
      <c r="D3" s="195"/>
      <c r="E3" s="195"/>
      <c r="F3" s="195"/>
      <c r="G3" s="195"/>
      <c r="H3" s="195"/>
      <c r="I3" s="195"/>
      <c r="J3" s="195"/>
      <c r="K3" s="195"/>
      <c r="L3" s="195"/>
      <c r="M3" s="195"/>
      <c r="N3" s="196"/>
      <c r="O3" s="6"/>
    </row>
    <row r="4" spans="2:15" ht="20.25" customHeight="1" thickBot="1">
      <c r="B4" s="5"/>
      <c r="C4" s="197"/>
      <c r="D4" s="198"/>
      <c r="E4" s="198"/>
      <c r="F4" s="198"/>
      <c r="G4" s="198"/>
      <c r="H4" s="198"/>
      <c r="I4" s="198"/>
      <c r="J4" s="198"/>
      <c r="K4" s="198"/>
      <c r="L4" s="198"/>
      <c r="M4" s="198"/>
      <c r="N4" s="199"/>
      <c r="O4" s="6"/>
    </row>
    <row r="5" spans="2:15" ht="15" thickBot="1">
      <c r="B5" s="5"/>
      <c r="C5" s="7"/>
      <c r="D5" s="7"/>
      <c r="E5" s="7"/>
      <c r="F5" s="7"/>
      <c r="G5" s="7"/>
      <c r="H5" s="7"/>
      <c r="I5" s="7"/>
      <c r="J5" s="7"/>
      <c r="K5" s="7"/>
      <c r="L5" s="7"/>
      <c r="M5" s="7"/>
      <c r="N5" s="7"/>
      <c r="O5" s="6"/>
    </row>
    <row r="6" spans="2:15" ht="15" thickBot="1">
      <c r="B6" s="5"/>
      <c r="C6" s="200" t="s">
        <v>1</v>
      </c>
      <c r="D6" s="201"/>
      <c r="E6" s="201"/>
      <c r="F6" s="201"/>
      <c r="G6" s="201"/>
      <c r="H6" s="201"/>
      <c r="I6" s="201"/>
      <c r="J6" s="201"/>
      <c r="K6" s="201"/>
      <c r="L6" s="201"/>
      <c r="M6" s="201"/>
      <c r="N6" s="202"/>
      <c r="O6" s="6"/>
    </row>
    <row r="7" spans="2:15" ht="15" thickBot="1">
      <c r="B7" s="5"/>
      <c r="C7" s="7"/>
      <c r="D7" s="7"/>
      <c r="E7" s="7"/>
      <c r="F7" s="7"/>
      <c r="G7" s="7"/>
      <c r="H7" s="7"/>
      <c r="I7" s="7"/>
      <c r="J7" s="7"/>
      <c r="K7" s="7"/>
      <c r="L7" s="7"/>
      <c r="M7" s="7"/>
      <c r="N7" s="7"/>
      <c r="O7" s="6"/>
    </row>
    <row r="8" spans="2:15">
      <c r="B8" s="5"/>
      <c r="C8" s="8" t="s">
        <v>2</v>
      </c>
      <c r="D8" s="9"/>
      <c r="E8" s="9"/>
      <c r="F8" s="9"/>
      <c r="G8" s="9"/>
      <c r="H8" s="9"/>
      <c r="I8" s="10"/>
      <c r="J8" s="203">
        <f>J9+12</f>
        <v>44693</v>
      </c>
      <c r="K8" s="203"/>
      <c r="L8" s="203"/>
      <c r="M8" s="203"/>
      <c r="N8" s="204"/>
      <c r="O8" s="6"/>
    </row>
    <row r="9" spans="2:15">
      <c r="B9" s="5"/>
      <c r="C9" s="11" t="s">
        <v>3</v>
      </c>
      <c r="D9" s="12"/>
      <c r="E9" s="12"/>
      <c r="F9" s="12"/>
      <c r="G9" s="12"/>
      <c r="H9" s="12"/>
      <c r="I9" s="13"/>
      <c r="J9" s="186">
        <f>'Servicer Report'!J9</f>
        <v>44681</v>
      </c>
      <c r="K9" s="186"/>
      <c r="L9" s="186"/>
      <c r="M9" s="186"/>
      <c r="N9" s="187"/>
      <c r="O9" s="6"/>
    </row>
    <row r="10" spans="2:15">
      <c r="B10" s="5"/>
      <c r="C10" s="188" t="s">
        <v>4</v>
      </c>
      <c r="D10" s="189"/>
      <c r="E10" s="205"/>
      <c r="F10" s="14" t="s">
        <v>5</v>
      </c>
      <c r="G10" s="12"/>
      <c r="H10" s="12"/>
      <c r="I10" s="13"/>
      <c r="J10" s="186">
        <f>'Servicer Report'!J10</f>
        <v>44592</v>
      </c>
      <c r="K10" s="186"/>
      <c r="L10" s="186"/>
      <c r="M10" s="186"/>
      <c r="N10" s="187"/>
      <c r="O10" s="6"/>
    </row>
    <row r="11" spans="2:15" ht="15" customHeight="1">
      <c r="B11" s="5"/>
      <c r="C11" s="191"/>
      <c r="D11" s="192"/>
      <c r="E11" s="190"/>
      <c r="F11" s="15" t="s">
        <v>6</v>
      </c>
      <c r="G11" s="12"/>
      <c r="H11" s="12"/>
      <c r="I11" s="13"/>
      <c r="J11" s="186">
        <f>'Servicer Report'!J11</f>
        <v>44681</v>
      </c>
      <c r="K11" s="186"/>
      <c r="L11" s="186"/>
      <c r="M11" s="186"/>
      <c r="N11" s="187"/>
      <c r="O11" s="6"/>
    </row>
    <row r="12" spans="2:15">
      <c r="B12" s="5"/>
      <c r="C12" s="16" t="s">
        <v>7</v>
      </c>
      <c r="D12" s="17"/>
      <c r="E12" s="18"/>
      <c r="F12" s="19"/>
      <c r="G12" s="12"/>
      <c r="H12" s="12"/>
      <c r="I12" s="13"/>
      <c r="J12" s="184">
        <f>J11-J10</f>
        <v>89</v>
      </c>
      <c r="K12" s="184"/>
      <c r="L12" s="184"/>
      <c r="M12" s="184"/>
      <c r="N12" s="185"/>
      <c r="O12" s="6"/>
    </row>
    <row r="13" spans="2:15">
      <c r="B13" s="5"/>
      <c r="C13" s="20" t="s">
        <v>8</v>
      </c>
      <c r="D13" s="19"/>
      <c r="E13" s="19"/>
      <c r="F13" s="19"/>
      <c r="G13" s="19"/>
      <c r="H13" s="19"/>
      <c r="I13" s="21"/>
      <c r="J13" s="186">
        <f>'Servicer Report'!J18</f>
        <v>44697</v>
      </c>
      <c r="K13" s="186"/>
      <c r="L13" s="186"/>
      <c r="M13" s="186"/>
      <c r="N13" s="187"/>
      <c r="O13" s="6"/>
    </row>
    <row r="14" spans="2:15">
      <c r="B14" s="5"/>
      <c r="C14" s="188" t="s">
        <v>9</v>
      </c>
      <c r="D14" s="189"/>
      <c r="E14" s="190"/>
      <c r="F14" s="22" t="s">
        <v>10</v>
      </c>
      <c r="G14" s="19"/>
      <c r="H14" s="19"/>
      <c r="I14" s="21"/>
      <c r="J14" s="186">
        <f>'Servicer Report'!J17</f>
        <v>44607</v>
      </c>
      <c r="K14" s="186"/>
      <c r="L14" s="186"/>
      <c r="M14" s="186"/>
      <c r="N14" s="187"/>
      <c r="O14" s="6"/>
    </row>
    <row r="15" spans="2:15" ht="15" customHeight="1">
      <c r="B15" s="5"/>
      <c r="C15" s="191"/>
      <c r="D15" s="192"/>
      <c r="E15" s="193"/>
      <c r="F15" s="14" t="s">
        <v>11</v>
      </c>
      <c r="G15" s="19"/>
      <c r="H15" s="19"/>
      <c r="I15" s="21"/>
      <c r="J15" s="186">
        <f>J13</f>
        <v>44697</v>
      </c>
      <c r="K15" s="186"/>
      <c r="L15" s="186"/>
      <c r="M15" s="186"/>
      <c r="N15" s="187"/>
      <c r="O15" s="6"/>
    </row>
    <row r="16" spans="2:15">
      <c r="B16" s="5"/>
      <c r="C16" s="16" t="s">
        <v>12</v>
      </c>
      <c r="D16" s="23"/>
      <c r="E16" s="23"/>
      <c r="F16" s="19"/>
      <c r="G16" s="19"/>
      <c r="H16" s="19"/>
      <c r="I16" s="21"/>
      <c r="J16" s="184">
        <f>J15-J14</f>
        <v>90</v>
      </c>
      <c r="K16" s="184"/>
      <c r="L16" s="184"/>
      <c r="M16" s="184"/>
      <c r="N16" s="185"/>
      <c r="O16" s="6"/>
    </row>
    <row r="17" spans="2:15">
      <c r="B17" s="5"/>
      <c r="C17" s="24" t="s">
        <v>13</v>
      </c>
      <c r="D17" s="18"/>
      <c r="E17" s="18"/>
      <c r="F17" s="19"/>
      <c r="G17" s="19"/>
      <c r="H17" s="19"/>
      <c r="I17" s="21"/>
      <c r="J17" s="217">
        <f>SUM(G31:N31)</f>
        <v>1049000000</v>
      </c>
      <c r="K17" s="217"/>
      <c r="L17" s="217"/>
      <c r="M17" s="217"/>
      <c r="N17" s="218"/>
      <c r="O17" s="6"/>
    </row>
    <row r="18" spans="2:15">
      <c r="B18" s="5"/>
      <c r="C18" s="24" t="s">
        <v>14</v>
      </c>
      <c r="D18" s="18"/>
      <c r="E18" s="18"/>
      <c r="F18" s="19"/>
      <c r="G18" s="19"/>
      <c r="H18" s="19"/>
      <c r="I18" s="21"/>
      <c r="J18" s="217">
        <f>SUM(G35:N35)</f>
        <v>990561647</v>
      </c>
      <c r="K18" s="217"/>
      <c r="L18" s="217"/>
      <c r="M18" s="217"/>
      <c r="N18" s="218"/>
      <c r="O18" s="6"/>
    </row>
    <row r="19" spans="2:15">
      <c r="B19" s="5"/>
      <c r="C19" s="16" t="s">
        <v>15</v>
      </c>
      <c r="D19" s="23"/>
      <c r="E19" s="23"/>
      <c r="F19" s="12"/>
      <c r="G19" s="12"/>
      <c r="H19" s="12"/>
      <c r="I19" s="13"/>
      <c r="J19" s="217">
        <f>SUM(G40:N40)</f>
        <v>981314455</v>
      </c>
      <c r="K19" s="217"/>
      <c r="L19" s="217"/>
      <c r="M19" s="217"/>
      <c r="N19" s="218"/>
      <c r="O19" s="6"/>
    </row>
    <row r="20" spans="2:15" ht="15" thickBot="1">
      <c r="B20" s="5"/>
      <c r="C20" s="25" t="s">
        <v>16</v>
      </c>
      <c r="D20" s="26"/>
      <c r="E20" s="26"/>
      <c r="F20" s="26"/>
      <c r="G20" s="26"/>
      <c r="H20" s="26"/>
      <c r="I20" s="26"/>
      <c r="J20" s="219" t="s">
        <v>17</v>
      </c>
      <c r="K20" s="219"/>
      <c r="L20" s="219"/>
      <c r="M20" s="219"/>
      <c r="N20" s="220"/>
      <c r="O20" s="6"/>
    </row>
    <row r="21" spans="2:15" ht="15" thickBot="1">
      <c r="B21" s="5"/>
      <c r="C21" s="7"/>
      <c r="D21" s="7"/>
      <c r="E21" s="7"/>
      <c r="F21" s="7"/>
      <c r="G21" s="7"/>
      <c r="H21" s="7"/>
      <c r="I21" s="7"/>
      <c r="J21" s="7"/>
      <c r="K21" s="7"/>
      <c r="L21" s="7"/>
      <c r="M21" s="7"/>
      <c r="N21" s="7"/>
      <c r="O21" s="6"/>
    </row>
    <row r="22" spans="2:15">
      <c r="B22" s="5"/>
      <c r="C22" s="221" t="s">
        <v>18</v>
      </c>
      <c r="D22" s="222"/>
      <c r="E22" s="222"/>
      <c r="F22" s="222"/>
      <c r="G22" s="222"/>
      <c r="H22" s="222"/>
      <c r="I22" s="222"/>
      <c r="J22" s="222"/>
      <c r="K22" s="222"/>
      <c r="L22" s="222"/>
      <c r="M22" s="222"/>
      <c r="N22" s="223"/>
      <c r="O22" s="6"/>
    </row>
    <row r="23" spans="2:15">
      <c r="B23" s="5"/>
      <c r="C23" s="20" t="s">
        <v>19</v>
      </c>
      <c r="D23" s="27"/>
      <c r="E23" s="27"/>
      <c r="F23" s="27"/>
      <c r="G23" s="14" t="s">
        <v>20</v>
      </c>
      <c r="H23" s="14" t="s">
        <v>21</v>
      </c>
      <c r="I23" s="14" t="s">
        <v>22</v>
      </c>
      <c r="J23" s="14" t="s">
        <v>23</v>
      </c>
      <c r="K23" s="14" t="s">
        <v>24</v>
      </c>
      <c r="L23" s="14" t="s">
        <v>24</v>
      </c>
      <c r="M23" s="28" t="s">
        <v>25</v>
      </c>
      <c r="N23" s="29" t="s">
        <v>25</v>
      </c>
      <c r="O23" s="6"/>
    </row>
    <row r="24" spans="2:15">
      <c r="B24" s="5"/>
      <c r="C24" s="30" t="s">
        <v>26</v>
      </c>
      <c r="D24" s="31"/>
      <c r="E24" s="31"/>
      <c r="F24" s="31"/>
      <c r="G24" s="32" t="s">
        <v>27</v>
      </c>
      <c r="H24" s="32" t="s">
        <v>28</v>
      </c>
      <c r="I24" s="32" t="s">
        <v>29</v>
      </c>
      <c r="J24" s="32" t="s">
        <v>30</v>
      </c>
      <c r="K24" s="32" t="s">
        <v>31</v>
      </c>
      <c r="L24" s="32" t="s">
        <v>32</v>
      </c>
      <c r="M24" s="33" t="s">
        <v>33</v>
      </c>
      <c r="N24" s="34" t="s">
        <v>34</v>
      </c>
      <c r="O24" s="6"/>
    </row>
    <row r="25" spans="2:15">
      <c r="B25" s="5"/>
      <c r="C25" s="20" t="s">
        <v>35</v>
      </c>
      <c r="D25" s="27"/>
      <c r="E25" s="27"/>
      <c r="F25" s="27"/>
      <c r="G25" s="32" t="s">
        <v>36</v>
      </c>
      <c r="H25" s="32" t="s">
        <v>37</v>
      </c>
      <c r="I25" s="32" t="s">
        <v>38</v>
      </c>
      <c r="J25" s="32" t="s">
        <v>39</v>
      </c>
      <c r="K25" s="32" t="s">
        <v>40</v>
      </c>
      <c r="L25" s="32" t="s">
        <v>40</v>
      </c>
      <c r="M25" s="33" t="s">
        <v>41</v>
      </c>
      <c r="N25" s="35" t="s">
        <v>42</v>
      </c>
      <c r="O25" s="6"/>
    </row>
    <row r="26" spans="2:15">
      <c r="B26" s="5"/>
      <c r="C26" s="20" t="s">
        <v>43</v>
      </c>
      <c r="D26" s="27"/>
      <c r="E26" s="27"/>
      <c r="F26" s="27"/>
      <c r="G26" s="32" t="s">
        <v>44</v>
      </c>
      <c r="H26" s="32" t="s">
        <v>44</v>
      </c>
      <c r="I26" s="32" t="s">
        <v>44</v>
      </c>
      <c r="J26" s="32" t="s">
        <v>44</v>
      </c>
      <c r="K26" s="32" t="s">
        <v>44</v>
      </c>
      <c r="L26" s="32" t="s">
        <v>44</v>
      </c>
      <c r="M26" s="33" t="s">
        <v>44</v>
      </c>
      <c r="N26" s="35" t="s">
        <v>44</v>
      </c>
      <c r="O26" s="6"/>
    </row>
    <row r="27" spans="2:15">
      <c r="B27" s="5"/>
      <c r="C27" s="30" t="s">
        <v>45</v>
      </c>
      <c r="D27" s="31"/>
      <c r="E27" s="31"/>
      <c r="F27" s="31"/>
      <c r="G27" s="36">
        <v>1.55E-2</v>
      </c>
      <c r="H27" s="37">
        <v>1.7000000000000001E-2</v>
      </c>
      <c r="I27" s="37">
        <v>2.1999999999999999E-2</v>
      </c>
      <c r="J27" s="37">
        <v>2.35E-2</v>
      </c>
      <c r="K27" s="37">
        <v>2.5000000000000001E-2</v>
      </c>
      <c r="L27" s="37">
        <v>2.7400000000000001E-2</v>
      </c>
      <c r="M27" s="38">
        <v>3.7999999999999999E-2</v>
      </c>
      <c r="N27" s="39">
        <v>0.04</v>
      </c>
      <c r="O27" s="6"/>
    </row>
    <row r="28" spans="2:15">
      <c r="B28" s="5"/>
      <c r="C28" s="20" t="s">
        <v>46</v>
      </c>
      <c r="D28" s="27"/>
      <c r="E28" s="27"/>
      <c r="F28" s="27"/>
      <c r="G28" s="36">
        <f t="shared" ref="G28:N28" si="0">G27*1.3</f>
        <v>2.0150000000000001E-2</v>
      </c>
      <c r="H28" s="37">
        <f t="shared" si="0"/>
        <v>2.2100000000000002E-2</v>
      </c>
      <c r="I28" s="37">
        <f t="shared" si="0"/>
        <v>2.86E-2</v>
      </c>
      <c r="J28" s="37">
        <f t="shared" si="0"/>
        <v>3.0550000000000001E-2</v>
      </c>
      <c r="K28" s="37">
        <f t="shared" si="0"/>
        <v>3.2500000000000001E-2</v>
      </c>
      <c r="L28" s="37">
        <f t="shared" si="0"/>
        <v>3.5619999999999999E-2</v>
      </c>
      <c r="M28" s="38">
        <f t="shared" si="0"/>
        <v>4.9399999999999999E-2</v>
      </c>
      <c r="N28" s="39">
        <f t="shared" si="0"/>
        <v>5.2000000000000005E-2</v>
      </c>
      <c r="O28" s="6"/>
    </row>
    <row r="29" spans="2:15">
      <c r="B29" s="5"/>
      <c r="C29" s="20" t="s">
        <v>47</v>
      </c>
      <c r="D29" s="27"/>
      <c r="E29" s="27"/>
      <c r="F29" s="27"/>
      <c r="G29" s="36">
        <f>'Servicer Report'!$J$16</f>
        <v>4.1669999999999999E-2</v>
      </c>
      <c r="H29" s="37">
        <v>4.1579999999999999E-2</v>
      </c>
      <c r="I29" s="37">
        <f>'Servicer Report'!$J$16</f>
        <v>4.1669999999999999E-2</v>
      </c>
      <c r="J29" s="37">
        <f>H29</f>
        <v>4.1579999999999999E-2</v>
      </c>
      <c r="K29" s="37">
        <f>'Servicer Report'!$J$16</f>
        <v>4.1669999999999999E-2</v>
      </c>
      <c r="L29" s="37">
        <f>J29</f>
        <v>4.1579999999999999E-2</v>
      </c>
      <c r="M29" s="38">
        <f>'Servicer Report'!$J$16</f>
        <v>4.1669999999999999E-2</v>
      </c>
      <c r="N29" s="39">
        <f>L29</f>
        <v>4.1579999999999999E-2</v>
      </c>
      <c r="O29" s="6"/>
    </row>
    <row r="30" spans="2:15">
      <c r="B30" s="5"/>
      <c r="C30" s="20" t="s">
        <v>48</v>
      </c>
      <c r="D30" s="27"/>
      <c r="E30" s="27"/>
      <c r="F30" s="27"/>
      <c r="G30" s="36">
        <f>G29+G27</f>
        <v>5.7169999999999999E-2</v>
      </c>
      <c r="H30" s="37">
        <f>H29+H27</f>
        <v>5.858E-2</v>
      </c>
      <c r="I30" s="37">
        <f t="shared" ref="I30:L30" si="1">I29+I27</f>
        <v>6.3670000000000004E-2</v>
      </c>
      <c r="J30" s="37">
        <f t="shared" si="1"/>
        <v>6.5079999999999999E-2</v>
      </c>
      <c r="K30" s="37">
        <f t="shared" si="1"/>
        <v>6.6670000000000007E-2</v>
      </c>
      <c r="L30" s="37">
        <f t="shared" si="1"/>
        <v>6.898E-2</v>
      </c>
      <c r="M30" s="38">
        <f>M29+M27</f>
        <v>7.9669999999999991E-2</v>
      </c>
      <c r="N30" s="39">
        <f>N29+N27</f>
        <v>8.158E-2</v>
      </c>
      <c r="O30" s="6"/>
    </row>
    <row r="31" spans="2:15">
      <c r="B31" s="5"/>
      <c r="C31" s="30" t="s">
        <v>49</v>
      </c>
      <c r="D31" s="31"/>
      <c r="E31" s="31"/>
      <c r="F31" s="31"/>
      <c r="G31" s="40">
        <v>202000000</v>
      </c>
      <c r="H31" s="40">
        <v>27000000</v>
      </c>
      <c r="I31" s="40">
        <v>309000000</v>
      </c>
      <c r="J31" s="40">
        <v>283000000</v>
      </c>
      <c r="K31" s="40">
        <v>73000000</v>
      </c>
      <c r="L31" s="40">
        <v>118000000</v>
      </c>
      <c r="M31" s="41">
        <v>25000000</v>
      </c>
      <c r="N31" s="42">
        <v>12000000</v>
      </c>
      <c r="O31" s="6"/>
    </row>
    <row r="32" spans="2:15">
      <c r="B32" s="5"/>
      <c r="C32" s="20" t="s">
        <v>50</v>
      </c>
      <c r="D32" s="27"/>
      <c r="E32" s="27"/>
      <c r="F32" s="27"/>
      <c r="G32" s="36">
        <f>G31/SUM($G$31:$N$31)</f>
        <v>0.19256434699714015</v>
      </c>
      <c r="H32" s="37">
        <f>H31/SUM($G$31:$N$31)</f>
        <v>2.5738798856053385E-2</v>
      </c>
      <c r="I32" s="37">
        <f>I31/SUM($G$31:$N$31)</f>
        <v>0.29456625357483318</v>
      </c>
      <c r="J32" s="37">
        <f>J31/SUM($G$31:$N$31)</f>
        <v>0.2697807435653003</v>
      </c>
      <c r="K32" s="37">
        <f>K31/SUM($E$31:$N$31)</f>
        <v>6.9590085795996182E-2</v>
      </c>
      <c r="L32" s="37">
        <f>L31/SUM($G$31:$N$31)</f>
        <v>0.1124880838894185</v>
      </c>
      <c r="M32" s="38">
        <f>M31/SUM($E$31:$N$31)</f>
        <v>2.3832221163012392E-2</v>
      </c>
      <c r="N32" s="39">
        <f>N31/SUM($E$31:$N$31)</f>
        <v>1.1439466158245948E-2</v>
      </c>
      <c r="O32" s="6"/>
    </row>
    <row r="33" spans="2:15">
      <c r="B33" s="5"/>
      <c r="C33" s="20" t="s">
        <v>51</v>
      </c>
      <c r="D33" s="27"/>
      <c r="E33" s="27"/>
      <c r="F33" s="27"/>
      <c r="G33" s="36">
        <v>0.17139727057700108</v>
      </c>
      <c r="H33" s="37">
        <v>2.2909536166232817E-2</v>
      </c>
      <c r="I33" s="37">
        <v>0.26218691390244225</v>
      </c>
      <c r="J33" s="37">
        <v>0.24012587907569952</v>
      </c>
      <c r="K33" s="37">
        <v>6.1940597782777621E-2</v>
      </c>
      <c r="L33" s="37">
        <v>0.10012315805983231</v>
      </c>
      <c r="M33" s="38">
        <v>2.1212533487252608E-2</v>
      </c>
      <c r="N33" s="39">
        <v>1.0182016073881252E-2</v>
      </c>
      <c r="O33" s="6"/>
    </row>
    <row r="34" spans="2:15">
      <c r="B34" s="5"/>
      <c r="C34" s="43" t="s">
        <v>52</v>
      </c>
      <c r="D34" s="27"/>
      <c r="E34" s="27"/>
      <c r="F34" s="27"/>
      <c r="G34" s="37">
        <f>1-G33-H33</f>
        <v>0.80569319325676614</v>
      </c>
      <c r="H34" s="37">
        <f>1-G33-H33</f>
        <v>0.80569319325676614</v>
      </c>
      <c r="I34" s="37">
        <f>1-SUM(G33:J33)</f>
        <v>0.30338040027862434</v>
      </c>
      <c r="J34" s="37">
        <f>1-SUM(G33:J33)</f>
        <v>0.30338040027862434</v>
      </c>
      <c r="K34" s="37">
        <f>1-SUM(G33:L33)</f>
        <v>0.14131664443601444</v>
      </c>
      <c r="L34" s="37">
        <f>1-SUM(G33:L33)</f>
        <v>0.14131664443601444</v>
      </c>
      <c r="M34" s="38">
        <f>1-SUM(G33:N33)</f>
        <v>0.10992209487488058</v>
      </c>
      <c r="N34" s="44">
        <f>1-SUM(G33:N33)</f>
        <v>0.10992209487488058</v>
      </c>
      <c r="O34" s="6"/>
    </row>
    <row r="35" spans="2:15">
      <c r="B35" s="5"/>
      <c r="C35" s="20" t="s">
        <v>53</v>
      </c>
      <c r="D35" s="27"/>
      <c r="E35" s="27"/>
      <c r="F35" s="27"/>
      <c r="G35" s="40">
        <v>143561647</v>
      </c>
      <c r="H35" s="40">
        <v>27000000</v>
      </c>
      <c r="I35" s="40">
        <v>309000000</v>
      </c>
      <c r="J35" s="40">
        <v>283000000</v>
      </c>
      <c r="K35" s="40">
        <v>73000000</v>
      </c>
      <c r="L35" s="40">
        <v>118000000</v>
      </c>
      <c r="M35" s="41">
        <v>25000000</v>
      </c>
      <c r="N35" s="42">
        <v>12000000</v>
      </c>
      <c r="O35" s="6"/>
    </row>
    <row r="36" spans="2:15">
      <c r="B36" s="5"/>
      <c r="C36" s="20" t="s">
        <v>54</v>
      </c>
      <c r="D36" s="27"/>
      <c r="E36" s="27"/>
      <c r="F36" s="27"/>
      <c r="G36" s="40">
        <f t="shared" ref="G36:M36" si="2">G35*G30*$J$16/365</f>
        <v>2023747.2392030135</v>
      </c>
      <c r="H36" s="45">
        <f>H35*H30*91/365</f>
        <v>394331.67123287672</v>
      </c>
      <c r="I36" s="45">
        <f t="shared" si="2"/>
        <v>4851130.6849315064</v>
      </c>
      <c r="J36" s="45">
        <f>J35*J30*91/365</f>
        <v>4591795.1780821914</v>
      </c>
      <c r="K36" s="45">
        <f t="shared" si="2"/>
        <v>1200060.0000000002</v>
      </c>
      <c r="L36" s="45">
        <f>L35*L30*91/365</f>
        <v>2029334.9041095891</v>
      </c>
      <c r="M36" s="46">
        <f t="shared" si="2"/>
        <v>491116.43835616432</v>
      </c>
      <c r="N36" s="47">
        <f>N35*N30*91/365</f>
        <v>244069.4794520548</v>
      </c>
      <c r="O36" s="6"/>
    </row>
    <row r="37" spans="2:15">
      <c r="B37" s="5"/>
      <c r="C37" s="20" t="s">
        <v>55</v>
      </c>
      <c r="D37" s="27"/>
      <c r="E37" s="27"/>
      <c r="F37" s="27"/>
      <c r="G37" s="40">
        <f t="shared" ref="G37:N37" si="3">G36</f>
        <v>2023747.2392030135</v>
      </c>
      <c r="H37" s="45">
        <f t="shared" si="3"/>
        <v>394331.67123287672</v>
      </c>
      <c r="I37" s="45">
        <f t="shared" si="3"/>
        <v>4851130.6849315064</v>
      </c>
      <c r="J37" s="45">
        <f t="shared" si="3"/>
        <v>4591795.1780821914</v>
      </c>
      <c r="K37" s="45">
        <f t="shared" si="3"/>
        <v>1200060.0000000002</v>
      </c>
      <c r="L37" s="45">
        <f t="shared" si="3"/>
        <v>2029334.9041095891</v>
      </c>
      <c r="M37" s="46">
        <f t="shared" si="3"/>
        <v>491116.43835616432</v>
      </c>
      <c r="N37" s="47">
        <f t="shared" si="3"/>
        <v>244069.4794520548</v>
      </c>
      <c r="O37" s="6"/>
    </row>
    <row r="38" spans="2:15">
      <c r="B38" s="5"/>
      <c r="C38" s="20" t="s">
        <v>56</v>
      </c>
      <c r="D38" s="27"/>
      <c r="E38" s="27"/>
      <c r="F38" s="27"/>
      <c r="G38" s="40">
        <f t="shared" ref="G38:N38" si="4">G36-G37</f>
        <v>0</v>
      </c>
      <c r="H38" s="45">
        <f t="shared" si="4"/>
        <v>0</v>
      </c>
      <c r="I38" s="45">
        <f t="shared" si="4"/>
        <v>0</v>
      </c>
      <c r="J38" s="45">
        <f t="shared" si="4"/>
        <v>0</v>
      </c>
      <c r="K38" s="45">
        <f t="shared" si="4"/>
        <v>0</v>
      </c>
      <c r="L38" s="45">
        <f t="shared" si="4"/>
        <v>0</v>
      </c>
      <c r="M38" s="46">
        <f t="shared" si="4"/>
        <v>0</v>
      </c>
      <c r="N38" s="47">
        <f t="shared" si="4"/>
        <v>0</v>
      </c>
      <c r="O38" s="6"/>
    </row>
    <row r="39" spans="2:15">
      <c r="B39" s="5"/>
      <c r="C39" s="20" t="s">
        <v>57</v>
      </c>
      <c r="D39" s="27"/>
      <c r="E39" s="27"/>
      <c r="F39" s="27"/>
      <c r="G39" s="40">
        <f>ROUND($F$161,0)*G35/SUM($G$35:$H$35)</f>
        <v>7783356.5575573035</v>
      </c>
      <c r="H39" s="40">
        <f>ROUND($F$161,0)*H35/SUM($G$35:$H$35)</f>
        <v>1463835.4424426963</v>
      </c>
      <c r="I39" s="45">
        <v>0</v>
      </c>
      <c r="J39" s="45">
        <v>0</v>
      </c>
      <c r="K39" s="45">
        <v>0</v>
      </c>
      <c r="L39" s="45">
        <v>0</v>
      </c>
      <c r="M39" s="46">
        <v>0</v>
      </c>
      <c r="N39" s="47">
        <v>0</v>
      </c>
      <c r="O39" s="6"/>
    </row>
    <row r="40" spans="2:15">
      <c r="B40" s="5"/>
      <c r="C40" s="20" t="s">
        <v>58</v>
      </c>
      <c r="D40" s="27"/>
      <c r="E40" s="27"/>
      <c r="F40" s="27"/>
      <c r="G40" s="40">
        <f t="shared" ref="G40:N40" si="5">G35-G39</f>
        <v>135778290.44244269</v>
      </c>
      <c r="H40" s="45">
        <f t="shared" si="5"/>
        <v>25536164.557557303</v>
      </c>
      <c r="I40" s="45">
        <f t="shared" si="5"/>
        <v>309000000</v>
      </c>
      <c r="J40" s="45">
        <f t="shared" si="5"/>
        <v>283000000</v>
      </c>
      <c r="K40" s="45">
        <f t="shared" si="5"/>
        <v>73000000</v>
      </c>
      <c r="L40" s="45">
        <f t="shared" si="5"/>
        <v>118000000</v>
      </c>
      <c r="M40" s="46">
        <f t="shared" si="5"/>
        <v>25000000</v>
      </c>
      <c r="N40" s="47">
        <f t="shared" si="5"/>
        <v>12000000</v>
      </c>
      <c r="O40" s="6"/>
    </row>
    <row r="41" spans="2:15">
      <c r="B41" s="5"/>
      <c r="C41" s="43" t="s">
        <v>59</v>
      </c>
      <c r="D41" s="27"/>
      <c r="E41" s="27"/>
      <c r="F41" s="27"/>
      <c r="G41" s="48">
        <f t="shared" ref="G41:N41" si="6">G40/SUM($G$40:$N$40)</f>
        <v>0.13836369142492932</v>
      </c>
      <c r="H41" s="48">
        <f t="shared" si="6"/>
        <v>2.6022407422457976E-2</v>
      </c>
      <c r="I41" s="48">
        <f t="shared" si="6"/>
        <v>0.3148837749465333</v>
      </c>
      <c r="J41" s="48">
        <f t="shared" si="6"/>
        <v>0.28838870003193828</v>
      </c>
      <c r="K41" s="48">
        <f t="shared" si="6"/>
        <v>7.4390018029439911E-2</v>
      </c>
      <c r="L41" s="48">
        <f t="shared" si="6"/>
        <v>0.1202468784585467</v>
      </c>
      <c r="M41" s="49">
        <f t="shared" si="6"/>
        <v>2.5476033571725999E-2</v>
      </c>
      <c r="N41" s="44">
        <f t="shared" si="6"/>
        <v>1.2228496114428479E-2</v>
      </c>
      <c r="O41" s="6"/>
    </row>
    <row r="42" spans="2:15">
      <c r="B42" s="5"/>
      <c r="C42" s="43" t="s">
        <v>60</v>
      </c>
      <c r="D42" s="27"/>
      <c r="E42" s="27"/>
      <c r="F42" s="27"/>
      <c r="G42" s="48">
        <v>0.12156495525102309</v>
      </c>
      <c r="H42" s="48">
        <v>2.2863026862443448E-2</v>
      </c>
      <c r="I42" s="48">
        <v>0.27665373492450607</v>
      </c>
      <c r="J42" s="48">
        <v>0.25337542713150557</v>
      </c>
      <c r="K42" s="48">
        <v>6.5358325726501437E-2</v>
      </c>
      <c r="L42" s="48">
        <v>0.10564770459900232</v>
      </c>
      <c r="M42" s="49">
        <v>2.2382988262500493E-2</v>
      </c>
      <c r="N42" s="44">
        <v>1.0743834366000236E-2</v>
      </c>
      <c r="O42" s="6"/>
    </row>
    <row r="43" spans="2:15">
      <c r="B43" s="5"/>
      <c r="C43" s="50" t="s">
        <v>61</v>
      </c>
      <c r="D43" s="27"/>
      <c r="E43" s="27"/>
      <c r="F43" s="27"/>
      <c r="G43" s="48">
        <f>1-G42-H42</f>
        <v>0.85557201788653348</v>
      </c>
      <c r="H43" s="48">
        <f>1-G42-H42</f>
        <v>0.85557201788653348</v>
      </c>
      <c r="I43" s="48">
        <f>1-SUM(G42:J42)</f>
        <v>0.32554285583052178</v>
      </c>
      <c r="J43" s="48">
        <f>1-SUM(G42:J42)</f>
        <v>0.32554285583052178</v>
      </c>
      <c r="K43" s="48">
        <f>1-SUM(G42:L42)</f>
        <v>0.15453682550501802</v>
      </c>
      <c r="L43" s="48">
        <f>1-SUM(G42:L42)</f>
        <v>0.15453682550501802</v>
      </c>
      <c r="M43" s="49">
        <f>1-SUM(G42:N42)</f>
        <v>0.12141000287651726</v>
      </c>
      <c r="N43" s="44">
        <f>1-SUM(G42:N42)</f>
        <v>0.12141000287651726</v>
      </c>
      <c r="O43" s="6"/>
    </row>
    <row r="44" spans="2:15">
      <c r="B44" s="5"/>
      <c r="C44" s="20" t="s">
        <v>62</v>
      </c>
      <c r="D44" s="27"/>
      <c r="E44" s="27"/>
      <c r="F44" s="27"/>
      <c r="G44" s="51">
        <v>52366</v>
      </c>
      <c r="H44" s="51">
        <v>52366</v>
      </c>
      <c r="I44" s="51">
        <v>52366</v>
      </c>
      <c r="J44" s="51">
        <v>52366</v>
      </c>
      <c r="K44" s="51">
        <v>52366</v>
      </c>
      <c r="L44" s="51">
        <v>52366</v>
      </c>
      <c r="M44" s="52">
        <v>52366</v>
      </c>
      <c r="N44" s="53">
        <v>52366</v>
      </c>
      <c r="O44" s="6"/>
    </row>
    <row r="45" spans="2:15">
      <c r="B45" s="5"/>
      <c r="C45" s="30" t="s">
        <v>63</v>
      </c>
      <c r="D45" s="31"/>
      <c r="E45" s="31"/>
      <c r="F45" s="31"/>
      <c r="G45" s="51">
        <v>45427</v>
      </c>
      <c r="H45" s="51">
        <v>45427</v>
      </c>
      <c r="I45" s="51">
        <v>46157</v>
      </c>
      <c r="J45" s="51">
        <v>46157</v>
      </c>
      <c r="K45" s="51">
        <v>46157</v>
      </c>
      <c r="L45" s="51">
        <v>46157</v>
      </c>
      <c r="M45" s="52">
        <v>46157</v>
      </c>
      <c r="N45" s="53">
        <v>46157</v>
      </c>
      <c r="O45" s="6"/>
    </row>
    <row r="46" spans="2:15">
      <c r="B46" s="5"/>
      <c r="C46" s="20" t="s">
        <v>64</v>
      </c>
      <c r="D46" s="27"/>
      <c r="E46" s="27"/>
      <c r="F46" s="27"/>
      <c r="G46" s="48">
        <v>4.5080000000000002E-2</v>
      </c>
      <c r="H46" s="48">
        <f>I46</f>
        <v>4.5080000000000002E-2</v>
      </c>
      <c r="I46" s="48">
        <f>G46</f>
        <v>4.5080000000000002E-2</v>
      </c>
      <c r="J46" s="48">
        <f>H46</f>
        <v>4.5080000000000002E-2</v>
      </c>
      <c r="K46" s="48">
        <f>I46</f>
        <v>4.5080000000000002E-2</v>
      </c>
      <c r="L46" s="48">
        <f>H46</f>
        <v>4.5080000000000002E-2</v>
      </c>
      <c r="M46" s="49">
        <f>K46</f>
        <v>4.5080000000000002E-2</v>
      </c>
      <c r="N46" s="44">
        <f>L46</f>
        <v>4.5080000000000002E-2</v>
      </c>
      <c r="O46" s="6"/>
    </row>
    <row r="47" spans="2:15">
      <c r="B47" s="5"/>
      <c r="C47" s="30" t="s">
        <v>65</v>
      </c>
      <c r="D47" s="31"/>
      <c r="E47" s="31"/>
      <c r="F47" s="31"/>
      <c r="G47" s="48">
        <f t="shared" ref="G47:N47" si="7">G46+G27</f>
        <v>6.0580000000000002E-2</v>
      </c>
      <c r="H47" s="48">
        <f t="shared" si="7"/>
        <v>6.2080000000000003E-2</v>
      </c>
      <c r="I47" s="48">
        <f t="shared" si="7"/>
        <v>6.7080000000000001E-2</v>
      </c>
      <c r="J47" s="48">
        <f t="shared" si="7"/>
        <v>6.8580000000000002E-2</v>
      </c>
      <c r="K47" s="48">
        <f t="shared" si="7"/>
        <v>7.0080000000000003E-2</v>
      </c>
      <c r="L47" s="48">
        <f t="shared" si="7"/>
        <v>7.2480000000000003E-2</v>
      </c>
      <c r="M47" s="49">
        <f t="shared" si="7"/>
        <v>8.3080000000000001E-2</v>
      </c>
      <c r="N47" s="44">
        <f t="shared" si="7"/>
        <v>8.5080000000000003E-2</v>
      </c>
      <c r="O47" s="6"/>
    </row>
    <row r="48" spans="2:15">
      <c r="B48" s="5"/>
      <c r="C48" s="20" t="s">
        <v>66</v>
      </c>
      <c r="D48" s="27"/>
      <c r="E48" s="27"/>
      <c r="F48" s="27"/>
      <c r="G48" s="54" t="s">
        <v>67</v>
      </c>
      <c r="H48" s="54" t="s">
        <v>67</v>
      </c>
      <c r="I48" s="54" t="s">
        <v>68</v>
      </c>
      <c r="J48" s="54" t="s">
        <v>68</v>
      </c>
      <c r="K48" s="54" t="s">
        <v>69</v>
      </c>
      <c r="L48" s="54" t="s">
        <v>69</v>
      </c>
      <c r="M48" s="55" t="s">
        <v>70</v>
      </c>
      <c r="N48" s="56" t="s">
        <v>70</v>
      </c>
      <c r="O48" s="6"/>
    </row>
    <row r="49" spans="2:24" ht="15" thickBot="1">
      <c r="B49" s="5"/>
      <c r="C49" s="57" t="s">
        <v>71</v>
      </c>
      <c r="D49" s="58"/>
      <c r="E49" s="58"/>
      <c r="F49" s="58"/>
      <c r="G49" s="59" t="str">
        <f t="shared" ref="G49:N49" si="8">G48</f>
        <v>AAA(za)(sf)</v>
      </c>
      <c r="H49" s="59" t="str">
        <f t="shared" si="8"/>
        <v>AAA(za)(sf)</v>
      </c>
      <c r="I49" s="59" t="str">
        <f t="shared" si="8"/>
        <v>AA+(za)(sf)</v>
      </c>
      <c r="J49" s="59" t="str">
        <f t="shared" si="8"/>
        <v>AA+(za)(sf)</v>
      </c>
      <c r="K49" s="59" t="str">
        <f t="shared" si="8"/>
        <v>A-(za)(sf)</v>
      </c>
      <c r="L49" s="59" t="str">
        <f t="shared" si="8"/>
        <v>A-(za)(sf)</v>
      </c>
      <c r="M49" s="60" t="str">
        <f t="shared" si="8"/>
        <v>BBB(za)(sf)</v>
      </c>
      <c r="N49" s="61" t="str">
        <f t="shared" si="8"/>
        <v>BBB(za)(sf)</v>
      </c>
      <c r="O49" s="6"/>
    </row>
    <row r="50" spans="2:24" ht="15" thickBot="1">
      <c r="B50" s="5"/>
      <c r="C50" s="7"/>
      <c r="D50" s="7"/>
      <c r="E50" s="7"/>
      <c r="F50" s="7"/>
      <c r="G50" s="7"/>
      <c r="H50" s="7"/>
      <c r="I50" s="7"/>
      <c r="J50" s="7"/>
      <c r="K50" s="7"/>
      <c r="L50" s="7"/>
      <c r="M50" s="7"/>
      <c r="N50" s="7"/>
      <c r="O50" s="6"/>
      <c r="Q50" s="62"/>
    </row>
    <row r="51" spans="2:24">
      <c r="B51" s="5"/>
      <c r="C51" s="224" t="s">
        <v>72</v>
      </c>
      <c r="D51" s="225"/>
      <c r="E51" s="225"/>
      <c r="F51" s="225"/>
      <c r="G51" s="225"/>
      <c r="H51" s="225"/>
      <c r="I51" s="225"/>
      <c r="J51" s="225"/>
      <c r="K51" s="225"/>
      <c r="L51" s="225"/>
      <c r="M51" s="225"/>
      <c r="N51" s="226"/>
      <c r="O51" s="6"/>
    </row>
    <row r="52" spans="2:24">
      <c r="B52" s="5"/>
      <c r="C52" s="206" t="s">
        <v>73</v>
      </c>
      <c r="D52" s="207"/>
      <c r="E52" s="207"/>
      <c r="F52" s="207"/>
      <c r="G52" s="207"/>
      <c r="H52" s="207"/>
      <c r="I52" s="207"/>
      <c r="J52" s="207"/>
      <c r="K52" s="207"/>
      <c r="L52" s="207"/>
      <c r="M52" s="207"/>
      <c r="N52" s="208"/>
      <c r="O52" s="6"/>
      <c r="U52" s="63"/>
    </row>
    <row r="53" spans="2:24">
      <c r="B53" s="5"/>
      <c r="C53" s="64" t="s">
        <v>74</v>
      </c>
      <c r="D53" s="65"/>
      <c r="E53" s="65"/>
      <c r="F53" s="65"/>
      <c r="G53" s="65"/>
      <c r="H53" s="65"/>
      <c r="I53" s="66"/>
      <c r="J53" s="209">
        <v>81988406.300000012</v>
      </c>
      <c r="K53" s="210"/>
      <c r="L53" s="210"/>
      <c r="M53" s="210"/>
      <c r="N53" s="211"/>
      <c r="O53" s="6"/>
      <c r="Q53" s="63"/>
      <c r="R53" s="67"/>
      <c r="U53" s="63"/>
      <c r="V53" s="63"/>
      <c r="W53" s="63"/>
      <c r="X53" s="67"/>
    </row>
    <row r="54" spans="2:24">
      <c r="B54" s="5"/>
      <c r="C54" s="20" t="s">
        <v>75</v>
      </c>
      <c r="D54" s="27"/>
      <c r="E54" s="27"/>
      <c r="F54" s="27"/>
      <c r="G54" s="27"/>
      <c r="H54" s="27"/>
      <c r="I54" s="68"/>
      <c r="J54" s="209">
        <v>63417934.050000027</v>
      </c>
      <c r="K54" s="210"/>
      <c r="L54" s="210"/>
      <c r="M54" s="210"/>
      <c r="N54" s="211"/>
      <c r="O54" s="6"/>
      <c r="R54" s="62"/>
    </row>
    <row r="55" spans="2:24">
      <c r="B55" s="5"/>
      <c r="C55" s="64" t="s">
        <v>76</v>
      </c>
      <c r="D55" s="65"/>
      <c r="E55" s="65"/>
      <c r="F55" s="65"/>
      <c r="G55" s="65"/>
      <c r="H55" s="65"/>
      <c r="I55" s="65"/>
      <c r="J55" s="212">
        <f>SUM(J56:M58)</f>
        <v>18570472.249999985</v>
      </c>
      <c r="K55" s="213"/>
      <c r="L55" s="213"/>
      <c r="M55" s="213"/>
      <c r="N55" s="214"/>
      <c r="O55" s="6"/>
      <c r="R55" s="62"/>
    </row>
    <row r="56" spans="2:24">
      <c r="B56" s="5"/>
      <c r="C56" s="50" t="s">
        <v>77</v>
      </c>
      <c r="D56" s="31"/>
      <c r="E56" s="31"/>
      <c r="F56" s="31"/>
      <c r="G56" s="31"/>
      <c r="H56" s="31"/>
      <c r="I56" s="31"/>
      <c r="J56" s="215">
        <f>J53-J54-J58</f>
        <v>2984972.2499999851</v>
      </c>
      <c r="K56" s="216"/>
      <c r="L56" s="216"/>
      <c r="M56" s="216"/>
      <c r="N56" s="6"/>
      <c r="O56" s="6"/>
    </row>
    <row r="57" spans="2:24">
      <c r="B57" s="5"/>
      <c r="C57" s="50" t="s">
        <v>78</v>
      </c>
      <c r="D57" s="31"/>
      <c r="E57" s="31"/>
      <c r="F57" s="31"/>
      <c r="G57" s="31"/>
      <c r="H57" s="31"/>
      <c r="I57" s="31"/>
      <c r="J57" s="215">
        <v>0</v>
      </c>
      <c r="K57" s="216"/>
      <c r="L57" s="216"/>
      <c r="M57" s="216"/>
      <c r="N57" s="6"/>
      <c r="O57" s="6"/>
    </row>
    <row r="58" spans="2:24">
      <c r="B58" s="5"/>
      <c r="C58" s="50" t="s">
        <v>79</v>
      </c>
      <c r="D58" s="31"/>
      <c r="E58" s="31"/>
      <c r="F58" s="31"/>
      <c r="G58" s="31"/>
      <c r="H58" s="31"/>
      <c r="I58" s="31"/>
      <c r="J58" s="227">
        <v>15585500</v>
      </c>
      <c r="K58" s="228"/>
      <c r="L58" s="228"/>
      <c r="M58" s="228"/>
      <c r="N58" s="6"/>
      <c r="O58" s="6"/>
    </row>
    <row r="59" spans="2:24">
      <c r="B59" s="5"/>
      <c r="C59" s="206" t="s">
        <v>80</v>
      </c>
      <c r="D59" s="207"/>
      <c r="E59" s="207"/>
      <c r="F59" s="207"/>
      <c r="G59" s="207"/>
      <c r="H59" s="207"/>
      <c r="I59" s="207"/>
      <c r="J59" s="207"/>
      <c r="K59" s="207"/>
      <c r="L59" s="207"/>
      <c r="M59" s="207"/>
      <c r="N59" s="208"/>
      <c r="O59" s="6"/>
    </row>
    <row r="60" spans="2:24">
      <c r="B60" s="5"/>
      <c r="C60" s="64" t="s">
        <v>81</v>
      </c>
      <c r="D60" s="65"/>
      <c r="E60" s="65"/>
      <c r="F60" s="65"/>
      <c r="G60" s="65"/>
      <c r="H60" s="65"/>
      <c r="I60" s="65"/>
      <c r="J60" s="229">
        <f>SUM(J61:M62)</f>
        <v>507700000</v>
      </c>
      <c r="K60" s="230"/>
      <c r="L60" s="230"/>
      <c r="M60" s="230"/>
      <c r="N60" s="231"/>
      <c r="O60" s="6"/>
    </row>
    <row r="61" spans="2:24">
      <c r="B61" s="5"/>
      <c r="C61" s="50" t="s">
        <v>82</v>
      </c>
      <c r="D61" s="31"/>
      <c r="E61" s="31"/>
      <c r="F61" s="31"/>
      <c r="G61" s="31"/>
      <c r="H61" s="31"/>
      <c r="I61" s="31"/>
      <c r="J61" s="215">
        <v>440000000</v>
      </c>
      <c r="K61" s="216"/>
      <c r="L61" s="216"/>
      <c r="M61" s="216"/>
      <c r="N61" s="69"/>
      <c r="O61" s="6"/>
    </row>
    <row r="62" spans="2:24">
      <c r="B62" s="5"/>
      <c r="C62" s="50" t="s">
        <v>83</v>
      </c>
      <c r="D62" s="31"/>
      <c r="E62" s="31"/>
      <c r="F62" s="31"/>
      <c r="G62" s="31"/>
      <c r="H62" s="31"/>
      <c r="I62" s="31"/>
      <c r="J62" s="227">
        <v>67700000</v>
      </c>
      <c r="K62" s="228"/>
      <c r="L62" s="228"/>
      <c r="M62" s="228"/>
      <c r="N62" s="69"/>
      <c r="O62" s="6"/>
    </row>
    <row r="63" spans="2:24">
      <c r="B63" s="5"/>
      <c r="C63" s="64" t="s">
        <v>84</v>
      </c>
      <c r="D63" s="65"/>
      <c r="E63" s="65"/>
      <c r="F63" s="65"/>
      <c r="G63" s="65"/>
      <c r="H63" s="65"/>
      <c r="I63" s="66"/>
      <c r="J63" s="229">
        <f>SUM(J64:M65)</f>
        <v>504818.14500000014</v>
      </c>
      <c r="K63" s="230"/>
      <c r="L63" s="230"/>
      <c r="M63" s="230"/>
      <c r="N63" s="231"/>
      <c r="O63" s="6"/>
      <c r="R63" s="62"/>
    </row>
    <row r="64" spans="2:24">
      <c r="B64" s="5"/>
      <c r="C64" s="50" t="s">
        <v>85</v>
      </c>
      <c r="D64" s="31"/>
      <c r="E64" s="31"/>
      <c r="F64" s="31"/>
      <c r="G64" s="31"/>
      <c r="H64" s="31"/>
      <c r="I64" s="70"/>
      <c r="J64" s="215">
        <v>504818.14500000014</v>
      </c>
      <c r="K64" s="216"/>
      <c r="L64" s="216"/>
      <c r="M64" s="216"/>
      <c r="N64" s="69"/>
      <c r="O64" s="6"/>
    </row>
    <row r="65" spans="2:18">
      <c r="B65" s="5"/>
      <c r="C65" s="71" t="s">
        <v>86</v>
      </c>
      <c r="D65" s="72"/>
      <c r="E65" s="72"/>
      <c r="F65" s="72"/>
      <c r="G65" s="72"/>
      <c r="H65" s="72"/>
      <c r="I65" s="73"/>
      <c r="J65" s="227">
        <v>0</v>
      </c>
      <c r="K65" s="228"/>
      <c r="L65" s="228"/>
      <c r="M65" s="228"/>
      <c r="N65" s="69"/>
      <c r="O65" s="6"/>
    </row>
    <row r="66" spans="2:18">
      <c r="B66" s="5"/>
      <c r="C66" s="64" t="s">
        <v>87</v>
      </c>
      <c r="D66" s="65"/>
      <c r="E66" s="65"/>
      <c r="F66" s="65"/>
      <c r="G66" s="65"/>
      <c r="H66" s="65"/>
      <c r="I66" s="66"/>
      <c r="J66" s="229">
        <f>SUM(J67:M69,J72,J75:M78)</f>
        <v>42049630.782918915</v>
      </c>
      <c r="K66" s="230"/>
      <c r="L66" s="230"/>
      <c r="M66" s="230"/>
      <c r="N66" s="231"/>
      <c r="O66" s="6"/>
      <c r="R66" s="62"/>
    </row>
    <row r="67" spans="2:18">
      <c r="B67" s="5"/>
      <c r="C67" s="50" t="s">
        <v>88</v>
      </c>
      <c r="D67" s="31"/>
      <c r="E67" s="31"/>
      <c r="F67" s="31"/>
      <c r="G67" s="31"/>
      <c r="H67" s="31"/>
      <c r="I67" s="70"/>
      <c r="J67" s="215">
        <f>'Servicer Report'!J39</f>
        <v>10655778.748152999</v>
      </c>
      <c r="K67" s="216"/>
      <c r="L67" s="216"/>
      <c r="M67" s="216"/>
      <c r="N67" s="74"/>
      <c r="O67" s="6"/>
    </row>
    <row r="68" spans="2:18">
      <c r="B68" s="5"/>
      <c r="C68" s="50" t="s">
        <v>89</v>
      </c>
      <c r="D68" s="31"/>
      <c r="E68" s="31"/>
      <c r="F68" s="31"/>
      <c r="G68" s="31"/>
      <c r="H68" s="31"/>
      <c r="I68" s="70"/>
      <c r="J68" s="215">
        <f>'Servicer Report'!J42</f>
        <v>7736783</v>
      </c>
      <c r="K68" s="216"/>
      <c r="L68" s="216"/>
      <c r="M68" s="216"/>
      <c r="N68" s="74"/>
      <c r="O68" s="6"/>
    </row>
    <row r="69" spans="2:18">
      <c r="B69" s="5"/>
      <c r="C69" s="50" t="s">
        <v>90</v>
      </c>
      <c r="D69" s="31"/>
      <c r="E69" s="31"/>
      <c r="F69" s="31"/>
      <c r="G69" s="31"/>
      <c r="H69" s="31"/>
      <c r="I69" s="70"/>
      <c r="J69" s="215">
        <f>SUM(J70:L71)</f>
        <v>0</v>
      </c>
      <c r="K69" s="216"/>
      <c r="L69" s="216"/>
      <c r="M69" s="216"/>
      <c r="N69" s="74"/>
      <c r="O69" s="6"/>
    </row>
    <row r="70" spans="2:18">
      <c r="B70" s="5"/>
      <c r="C70" s="75" t="s">
        <v>91</v>
      </c>
      <c r="D70" s="31"/>
      <c r="E70" s="31"/>
      <c r="F70" s="31"/>
      <c r="G70" s="31"/>
      <c r="H70" s="31"/>
      <c r="I70" s="70"/>
      <c r="J70" s="215">
        <v>0</v>
      </c>
      <c r="K70" s="216"/>
      <c r="L70" s="216"/>
      <c r="M70" s="76"/>
      <c r="N70" s="74"/>
      <c r="O70" s="6"/>
    </row>
    <row r="71" spans="2:18">
      <c r="B71" s="5"/>
      <c r="C71" s="75" t="s">
        <v>92</v>
      </c>
      <c r="D71" s="31"/>
      <c r="E71" s="31"/>
      <c r="F71" s="31"/>
      <c r="G71" s="31"/>
      <c r="H71" s="31"/>
      <c r="I71" s="70"/>
      <c r="J71" s="215">
        <v>0</v>
      </c>
      <c r="K71" s="216"/>
      <c r="L71" s="216"/>
      <c r="M71" s="76"/>
      <c r="N71" s="74"/>
      <c r="O71" s="6"/>
    </row>
    <row r="72" spans="2:18">
      <c r="B72" s="5"/>
      <c r="C72" s="50" t="s">
        <v>93</v>
      </c>
      <c r="D72" s="31"/>
      <c r="E72" s="31"/>
      <c r="F72" s="31"/>
      <c r="G72" s="31"/>
      <c r="H72" s="31"/>
      <c r="I72" s="70"/>
      <c r="J72" s="215">
        <f>SUM(J73:L74)</f>
        <v>0</v>
      </c>
      <c r="K72" s="216"/>
      <c r="L72" s="216"/>
      <c r="M72" s="216"/>
      <c r="N72" s="74"/>
      <c r="O72" s="6"/>
    </row>
    <row r="73" spans="2:18">
      <c r="B73" s="5"/>
      <c r="C73" s="75" t="s">
        <v>91</v>
      </c>
      <c r="D73" s="31"/>
      <c r="E73" s="31"/>
      <c r="F73" s="31"/>
      <c r="G73" s="31"/>
      <c r="H73" s="31"/>
      <c r="I73" s="70"/>
      <c r="J73" s="215">
        <v>0</v>
      </c>
      <c r="K73" s="216"/>
      <c r="L73" s="216"/>
      <c r="M73" s="76"/>
      <c r="N73" s="74"/>
      <c r="O73" s="6"/>
    </row>
    <row r="74" spans="2:18">
      <c r="B74" s="5"/>
      <c r="C74" s="75" t="s">
        <v>92</v>
      </c>
      <c r="D74" s="31"/>
      <c r="E74" s="31"/>
      <c r="F74" s="31"/>
      <c r="G74" s="31"/>
      <c r="H74" s="31"/>
      <c r="I74" s="70"/>
      <c r="J74" s="215">
        <v>0</v>
      </c>
      <c r="K74" s="216"/>
      <c r="L74" s="216"/>
      <c r="M74" s="76"/>
      <c r="N74" s="74"/>
      <c r="O74" s="6"/>
    </row>
    <row r="75" spans="2:18">
      <c r="B75" s="5"/>
      <c r="C75" s="50" t="s">
        <v>94</v>
      </c>
      <c r="D75" s="31"/>
      <c r="E75" s="31"/>
      <c r="F75" s="31"/>
      <c r="G75" s="31"/>
      <c r="H75" s="31"/>
      <c r="I75" s="70"/>
      <c r="J75" s="215">
        <f>'Servicer Report'!J46</f>
        <v>0</v>
      </c>
      <c r="K75" s="216"/>
      <c r="L75" s="216"/>
      <c r="M75" s="216"/>
      <c r="N75" s="74"/>
      <c r="O75" s="6"/>
    </row>
    <row r="76" spans="2:18">
      <c r="B76" s="5"/>
      <c r="C76" s="50" t="s">
        <v>95</v>
      </c>
      <c r="D76" s="31"/>
      <c r="E76" s="31"/>
      <c r="F76" s="31"/>
      <c r="G76" s="31"/>
      <c r="H76" s="31"/>
      <c r="I76" s="70"/>
      <c r="J76" s="215">
        <f>'Servicer Report'!J40</f>
        <v>23596151.041846998</v>
      </c>
      <c r="K76" s="216"/>
      <c r="L76" s="216"/>
      <c r="M76" s="216"/>
      <c r="N76" s="74"/>
      <c r="O76" s="6"/>
    </row>
    <row r="77" spans="2:18">
      <c r="B77" s="5"/>
      <c r="C77" s="50" t="s">
        <v>96</v>
      </c>
      <c r="D77" s="31"/>
      <c r="E77" s="31"/>
      <c r="F77" s="31"/>
      <c r="G77" s="31"/>
      <c r="H77" s="31"/>
      <c r="I77" s="70"/>
      <c r="J77" s="215">
        <f>'Servicer Report'!J41</f>
        <v>0</v>
      </c>
      <c r="K77" s="216"/>
      <c r="L77" s="216"/>
      <c r="M77" s="216"/>
      <c r="N77" s="74"/>
      <c r="O77" s="6"/>
    </row>
    <row r="78" spans="2:18">
      <c r="B78" s="5"/>
      <c r="C78" s="71" t="s">
        <v>97</v>
      </c>
      <c r="D78" s="72"/>
      <c r="E78" s="72"/>
      <c r="F78" s="72"/>
      <c r="G78" s="72"/>
      <c r="H78" s="72"/>
      <c r="I78" s="73"/>
      <c r="J78" s="227">
        <v>60917.992918919772</v>
      </c>
      <c r="K78" s="228"/>
      <c r="L78" s="228"/>
      <c r="M78" s="228"/>
      <c r="N78" s="77"/>
      <c r="O78" s="6"/>
    </row>
    <row r="79" spans="2:18">
      <c r="B79" s="5"/>
      <c r="C79" s="78" t="s">
        <v>98</v>
      </c>
      <c r="D79" s="65"/>
      <c r="E79" s="65"/>
      <c r="F79" s="65"/>
      <c r="G79" s="65"/>
      <c r="H79" s="65"/>
      <c r="I79" s="66"/>
      <c r="J79" s="209">
        <v>806619</v>
      </c>
      <c r="K79" s="210"/>
      <c r="L79" s="210"/>
      <c r="M79" s="210"/>
      <c r="N79" s="211"/>
      <c r="O79" s="6"/>
    </row>
    <row r="80" spans="2:18">
      <c r="B80" s="5"/>
      <c r="C80" s="206" t="s">
        <v>99</v>
      </c>
      <c r="D80" s="207"/>
      <c r="E80" s="207"/>
      <c r="F80" s="207"/>
      <c r="G80" s="207"/>
      <c r="H80" s="207"/>
      <c r="I80" s="207"/>
      <c r="J80" s="207"/>
      <c r="K80" s="207"/>
      <c r="L80" s="207"/>
      <c r="M80" s="207"/>
      <c r="N80" s="208"/>
      <c r="O80" s="6"/>
    </row>
    <row r="81" spans="2:19">
      <c r="B81" s="5"/>
      <c r="C81" s="78" t="s">
        <v>100</v>
      </c>
      <c r="D81" s="65"/>
      <c r="E81" s="65"/>
      <c r="F81" s="65"/>
      <c r="G81" s="65"/>
      <c r="H81" s="65"/>
      <c r="I81" s="65"/>
      <c r="J81" s="212">
        <f>SUM(J82:M84,J87:M90)</f>
        <v>508389049.75999999</v>
      </c>
      <c r="K81" s="213"/>
      <c r="L81" s="213"/>
      <c r="M81" s="213"/>
      <c r="N81" s="214"/>
      <c r="O81" s="6"/>
      <c r="P81" s="67"/>
      <c r="Q81" s="79"/>
    </row>
    <row r="82" spans="2:19">
      <c r="B82" s="5"/>
      <c r="C82" s="50" t="s">
        <v>101</v>
      </c>
      <c r="D82" s="31"/>
      <c r="E82" s="31"/>
      <c r="F82" s="31"/>
      <c r="G82" s="31"/>
      <c r="H82" s="31"/>
      <c r="I82" s="31"/>
      <c r="J82" s="215">
        <v>0</v>
      </c>
      <c r="K82" s="216"/>
      <c r="L82" s="216"/>
      <c r="M82" s="216"/>
      <c r="N82" s="80"/>
      <c r="O82" s="6"/>
    </row>
    <row r="83" spans="2:19">
      <c r="B83" s="5"/>
      <c r="C83" s="50" t="s">
        <v>102</v>
      </c>
      <c r="D83" s="31"/>
      <c r="E83" s="31"/>
      <c r="F83" s="31"/>
      <c r="G83" s="31"/>
      <c r="H83" s="31"/>
      <c r="I83" s="31"/>
      <c r="J83" s="215">
        <v>675917.6</v>
      </c>
      <c r="K83" s="216"/>
      <c r="L83" s="216"/>
      <c r="M83" s="216"/>
      <c r="N83" s="80"/>
      <c r="O83" s="6"/>
    </row>
    <row r="84" spans="2:19">
      <c r="B84" s="5"/>
      <c r="C84" s="50" t="s">
        <v>103</v>
      </c>
      <c r="D84" s="31"/>
      <c r="E84" s="31"/>
      <c r="F84" s="31"/>
      <c r="G84" s="31"/>
      <c r="H84" s="31"/>
      <c r="I84" s="31"/>
      <c r="J84" s="215">
        <f>SUM(J85:L86)</f>
        <v>498567762.30999994</v>
      </c>
      <c r="K84" s="216"/>
      <c r="L84" s="216"/>
      <c r="M84" s="216"/>
      <c r="N84" s="80"/>
      <c r="O84" s="6"/>
    </row>
    <row r="85" spans="2:19">
      <c r="B85" s="5"/>
      <c r="C85" s="75" t="s">
        <v>104</v>
      </c>
      <c r="D85" s="31"/>
      <c r="E85" s="31"/>
      <c r="F85" s="31"/>
      <c r="G85" s="31"/>
      <c r="H85" s="31"/>
      <c r="I85" s="31"/>
      <c r="J85" s="215">
        <f>'Servicer Report'!J27</f>
        <v>498567762.30999994</v>
      </c>
      <c r="K85" s="216"/>
      <c r="L85" s="216"/>
      <c r="M85" s="81"/>
      <c r="N85" s="80"/>
      <c r="O85" s="6"/>
    </row>
    <row r="86" spans="2:19">
      <c r="B86" s="5"/>
      <c r="C86" s="75" t="s">
        <v>105</v>
      </c>
      <c r="D86" s="31"/>
      <c r="E86" s="31"/>
      <c r="F86" s="31"/>
      <c r="G86" s="31"/>
      <c r="H86" s="31"/>
      <c r="I86" s="31"/>
      <c r="J86" s="215">
        <v>0</v>
      </c>
      <c r="K86" s="216"/>
      <c r="L86" s="216"/>
      <c r="M86" s="82"/>
      <c r="N86" s="80"/>
      <c r="O86" s="6"/>
    </row>
    <row r="87" spans="2:19">
      <c r="B87" s="5"/>
      <c r="C87" s="50" t="s">
        <v>106</v>
      </c>
      <c r="D87" s="31"/>
      <c r="E87" s="31"/>
      <c r="F87" s="31"/>
      <c r="G87" s="31"/>
      <c r="H87" s="31"/>
      <c r="I87" s="31"/>
      <c r="J87" s="215">
        <f>'Servicer Report'!J30</f>
        <v>9145369.8499999996</v>
      </c>
      <c r="K87" s="216"/>
      <c r="L87" s="216"/>
      <c r="M87" s="216"/>
      <c r="N87" s="80"/>
      <c r="O87" s="6"/>
    </row>
    <row r="88" spans="2:19">
      <c r="B88" s="5"/>
      <c r="C88" s="50" t="s">
        <v>107</v>
      </c>
      <c r="D88" s="31"/>
      <c r="E88" s="31"/>
      <c r="F88" s="31"/>
      <c r="G88" s="31"/>
      <c r="H88" s="31"/>
      <c r="I88" s="31"/>
      <c r="J88" s="215">
        <v>0</v>
      </c>
      <c r="K88" s="216"/>
      <c r="L88" s="216"/>
      <c r="M88" s="216"/>
      <c r="N88" s="80"/>
      <c r="O88" s="6"/>
    </row>
    <row r="89" spans="2:19">
      <c r="B89" s="5"/>
      <c r="C89" s="50" t="s">
        <v>108</v>
      </c>
      <c r="D89" s="31"/>
      <c r="E89" s="31"/>
      <c r="F89" s="31"/>
      <c r="G89" s="31"/>
      <c r="H89" s="31"/>
      <c r="I89" s="31"/>
      <c r="J89" s="215">
        <v>0</v>
      </c>
      <c r="K89" s="216"/>
      <c r="L89" s="216"/>
      <c r="M89" s="216"/>
      <c r="N89" s="80"/>
      <c r="O89" s="6"/>
    </row>
    <row r="90" spans="2:19">
      <c r="B90" s="5"/>
      <c r="C90" s="71" t="s">
        <v>109</v>
      </c>
      <c r="D90" s="72"/>
      <c r="E90" s="72"/>
      <c r="F90" s="72"/>
      <c r="G90" s="72"/>
      <c r="H90" s="72"/>
      <c r="I90" s="72"/>
      <c r="J90" s="227">
        <v>0</v>
      </c>
      <c r="K90" s="228"/>
      <c r="L90" s="228"/>
      <c r="M90" s="228"/>
      <c r="N90" s="83"/>
      <c r="O90" s="6"/>
    </row>
    <row r="91" spans="2:19">
      <c r="B91" s="5"/>
      <c r="C91" s="206" t="s">
        <v>110</v>
      </c>
      <c r="D91" s="207"/>
      <c r="E91" s="207"/>
      <c r="F91" s="207"/>
      <c r="G91" s="207"/>
      <c r="H91" s="207"/>
      <c r="I91" s="207"/>
      <c r="J91" s="207"/>
      <c r="K91" s="207"/>
      <c r="L91" s="207"/>
      <c r="M91" s="207"/>
      <c r="N91" s="208"/>
      <c r="O91" s="6"/>
    </row>
    <row r="92" spans="2:19">
      <c r="B92" s="5"/>
      <c r="C92" s="84" t="s">
        <v>111</v>
      </c>
      <c r="D92" s="31"/>
      <c r="E92" s="31"/>
      <c r="F92" s="31"/>
      <c r="G92" s="31"/>
      <c r="H92" s="31"/>
      <c r="I92" s="31"/>
      <c r="J92" s="212">
        <f>SUM(J93:M96)</f>
        <v>61242490.417918906</v>
      </c>
      <c r="K92" s="213"/>
      <c r="L92" s="213"/>
      <c r="M92" s="213"/>
      <c r="N92" s="214"/>
      <c r="O92" s="6"/>
      <c r="S92" s="63">
        <v>23364055.559999999</v>
      </c>
    </row>
    <row r="93" spans="2:19">
      <c r="B93" s="5"/>
      <c r="C93" s="50" t="s">
        <v>112</v>
      </c>
      <c r="D93" s="31"/>
      <c r="E93" s="31"/>
      <c r="F93" s="31"/>
      <c r="G93" s="31"/>
      <c r="H93" s="31"/>
      <c r="I93" s="31"/>
      <c r="J93" s="215">
        <f>J56</f>
        <v>2984972.2499999851</v>
      </c>
      <c r="K93" s="216"/>
      <c r="L93" s="216"/>
      <c r="M93" s="216"/>
      <c r="N93" s="6"/>
      <c r="O93" s="6"/>
      <c r="S93" s="1">
        <v>208.07</v>
      </c>
    </row>
    <row r="94" spans="2:19">
      <c r="B94" s="5"/>
      <c r="C94" s="50" t="s">
        <v>113</v>
      </c>
      <c r="D94" s="31"/>
      <c r="E94" s="31"/>
      <c r="F94" s="31"/>
      <c r="G94" s="31"/>
      <c r="H94" s="31"/>
      <c r="I94" s="31"/>
      <c r="J94" s="215">
        <f>J60+J63+J66-J81+J58+J79-J96</f>
        <v>33587848.422418922</v>
      </c>
      <c r="K94" s="216"/>
      <c r="L94" s="216"/>
      <c r="M94" s="216"/>
      <c r="N94" s="6"/>
      <c r="O94" s="6"/>
      <c r="S94" s="63">
        <f>SUM(S92:S93)</f>
        <v>23364263.629999999</v>
      </c>
    </row>
    <row r="95" spans="2:19">
      <c r="B95" s="5"/>
      <c r="C95" s="50" t="s">
        <v>78</v>
      </c>
      <c r="D95" s="31"/>
      <c r="E95" s="31"/>
      <c r="F95" s="31"/>
      <c r="G95" s="31"/>
      <c r="H95" s="31"/>
      <c r="I95" s="31"/>
      <c r="J95" s="215">
        <f>I201</f>
        <v>0</v>
      </c>
      <c r="K95" s="216"/>
      <c r="L95" s="216"/>
      <c r="M95" s="216"/>
      <c r="N95" s="6"/>
      <c r="O95" s="6"/>
      <c r="S95" s="67">
        <f>S94-J92</f>
        <v>-37878226.78791891</v>
      </c>
    </row>
    <row r="96" spans="2:19" ht="15" thickBot="1">
      <c r="B96" s="5"/>
      <c r="C96" s="85" t="s">
        <v>79</v>
      </c>
      <c r="D96" s="86"/>
      <c r="E96" s="86"/>
      <c r="F96" s="86"/>
      <c r="G96" s="86"/>
      <c r="H96" s="86"/>
      <c r="I96" s="86"/>
      <c r="J96" s="234">
        <f>I192</f>
        <v>24669669.745499998</v>
      </c>
      <c r="K96" s="235"/>
      <c r="L96" s="235"/>
      <c r="M96" s="235"/>
      <c r="N96" s="87"/>
      <c r="O96" s="6"/>
      <c r="Q96" s="62"/>
    </row>
    <row r="97" spans="2:19" ht="15" thickBot="1">
      <c r="B97" s="5"/>
      <c r="C97" s="88"/>
      <c r="D97" s="7"/>
      <c r="E97" s="7"/>
      <c r="F97" s="7"/>
      <c r="G97" s="7"/>
      <c r="H97" s="7"/>
      <c r="I97" s="7"/>
      <c r="J97" s="7"/>
      <c r="K97" s="7"/>
      <c r="L97" s="7"/>
      <c r="M97" s="7"/>
      <c r="N97" s="7"/>
      <c r="O97" s="6"/>
      <c r="P97" s="63"/>
      <c r="R97" s="89"/>
      <c r="S97" s="67"/>
    </row>
    <row r="98" spans="2:19">
      <c r="B98" s="5"/>
      <c r="C98" s="224" t="s">
        <v>114</v>
      </c>
      <c r="D98" s="225"/>
      <c r="E98" s="225"/>
      <c r="F98" s="225"/>
      <c r="G98" s="225"/>
      <c r="H98" s="225"/>
      <c r="I98" s="225"/>
      <c r="J98" s="225"/>
      <c r="K98" s="225"/>
      <c r="L98" s="225"/>
      <c r="M98" s="225"/>
      <c r="N98" s="226"/>
      <c r="O98" s="6"/>
      <c r="P98" s="63"/>
      <c r="R98" s="89"/>
    </row>
    <row r="99" spans="2:19">
      <c r="B99" s="5"/>
      <c r="C99" s="78" t="s">
        <v>115</v>
      </c>
      <c r="D99" s="90"/>
      <c r="E99" s="90"/>
      <c r="F99" s="90"/>
      <c r="G99" s="90"/>
      <c r="H99" s="90"/>
      <c r="I99" s="91"/>
      <c r="J99" s="212">
        <f>J100+J101+J102-J103+J104+J105</f>
        <v>9247191.8981530014</v>
      </c>
      <c r="K99" s="213"/>
      <c r="L99" s="213"/>
      <c r="M99" s="213"/>
      <c r="N99" s="214"/>
      <c r="O99" s="6"/>
      <c r="R99" s="89"/>
    </row>
    <row r="100" spans="2:19">
      <c r="B100" s="5"/>
      <c r="C100" s="50" t="s">
        <v>116</v>
      </c>
      <c r="D100" s="31"/>
      <c r="E100" s="31"/>
      <c r="F100" s="31"/>
      <c r="G100" s="31"/>
      <c r="H100" s="31"/>
      <c r="I100" s="70"/>
      <c r="J100" s="215">
        <f>J67+J68+J75</f>
        <v>18392561.748153001</v>
      </c>
      <c r="K100" s="216"/>
      <c r="L100" s="216"/>
      <c r="M100" s="216"/>
      <c r="N100" s="92"/>
      <c r="O100" s="6"/>
      <c r="R100" s="89"/>
    </row>
    <row r="101" spans="2:19">
      <c r="B101" s="5"/>
      <c r="C101" s="50" t="s">
        <v>117</v>
      </c>
      <c r="D101" s="31"/>
      <c r="E101" s="31"/>
      <c r="F101" s="31"/>
      <c r="G101" s="31"/>
      <c r="H101" s="31"/>
      <c r="I101" s="70"/>
      <c r="J101" s="215">
        <v>0</v>
      </c>
      <c r="K101" s="216"/>
      <c r="L101" s="216"/>
      <c r="M101" s="216"/>
      <c r="N101" s="74"/>
      <c r="O101" s="6"/>
      <c r="R101" s="93"/>
    </row>
    <row r="102" spans="2:19">
      <c r="B102" s="5"/>
      <c r="C102" s="50" t="s">
        <v>118</v>
      </c>
      <c r="D102" s="31"/>
      <c r="E102" s="31"/>
      <c r="F102" s="31"/>
      <c r="G102" s="31"/>
      <c r="H102" s="31"/>
      <c r="I102" s="70"/>
      <c r="J102" s="216">
        <v>0</v>
      </c>
      <c r="K102" s="216"/>
      <c r="L102" s="216"/>
      <c r="M102" s="216"/>
      <c r="N102" s="74"/>
      <c r="O102" s="6"/>
    </row>
    <row r="103" spans="2:19">
      <c r="B103" s="5"/>
      <c r="C103" s="50" t="s">
        <v>119</v>
      </c>
      <c r="D103" s="31"/>
      <c r="E103" s="31"/>
      <c r="F103" s="31"/>
      <c r="G103" s="31"/>
      <c r="H103" s="31"/>
      <c r="I103" s="70"/>
      <c r="J103" s="215">
        <f>'Servicer Report'!J30</f>
        <v>9145369.8499999996</v>
      </c>
      <c r="K103" s="216"/>
      <c r="L103" s="216"/>
      <c r="M103" s="216"/>
      <c r="N103" s="74"/>
      <c r="O103" s="6"/>
      <c r="R103" s="67"/>
    </row>
    <row r="104" spans="2:19">
      <c r="B104" s="5"/>
      <c r="C104" s="50" t="s">
        <v>120</v>
      </c>
      <c r="D104" s="31"/>
      <c r="E104" s="31"/>
      <c r="F104" s="31"/>
      <c r="G104" s="31"/>
      <c r="H104" s="31"/>
      <c r="I104" s="70"/>
      <c r="J104" s="215">
        <v>0</v>
      </c>
      <c r="K104" s="216"/>
      <c r="L104" s="216"/>
      <c r="M104" s="216"/>
      <c r="N104" s="74"/>
      <c r="O104" s="6"/>
      <c r="R104" s="67"/>
    </row>
    <row r="105" spans="2:19" ht="15" thickBot="1">
      <c r="B105" s="5"/>
      <c r="C105" s="85" t="s">
        <v>121</v>
      </c>
      <c r="D105" s="86"/>
      <c r="E105" s="86"/>
      <c r="F105" s="86"/>
      <c r="G105" s="86"/>
      <c r="H105" s="86"/>
      <c r="I105" s="94"/>
      <c r="J105" s="232">
        <v>0</v>
      </c>
      <c r="K105" s="233"/>
      <c r="L105" s="233"/>
      <c r="M105" s="233"/>
      <c r="N105" s="95"/>
      <c r="O105" s="6"/>
    </row>
    <row r="106" spans="2:19" ht="15" thickBot="1">
      <c r="B106" s="5"/>
      <c r="C106" s="88"/>
      <c r="D106" s="7"/>
      <c r="E106" s="7"/>
      <c r="F106" s="7"/>
      <c r="G106" s="7"/>
      <c r="H106" s="7"/>
      <c r="I106" s="7"/>
      <c r="J106" s="96"/>
      <c r="K106" s="96"/>
      <c r="L106" s="96"/>
      <c r="M106" s="96"/>
      <c r="N106" s="97"/>
      <c r="O106" s="6"/>
    </row>
    <row r="107" spans="2:19">
      <c r="B107" s="5"/>
      <c r="C107" s="224" t="s">
        <v>122</v>
      </c>
      <c r="D107" s="225"/>
      <c r="E107" s="225"/>
      <c r="F107" s="225"/>
      <c r="G107" s="225"/>
      <c r="H107" s="225"/>
      <c r="I107" s="225"/>
      <c r="J107" s="225"/>
      <c r="K107" s="225"/>
      <c r="L107" s="225"/>
      <c r="M107" s="225"/>
      <c r="N107" s="226"/>
      <c r="O107" s="6"/>
    </row>
    <row r="108" spans="2:19">
      <c r="B108" s="5"/>
      <c r="C108" s="98" t="s">
        <v>123</v>
      </c>
      <c r="D108" s="12"/>
      <c r="E108" s="12"/>
      <c r="F108" s="12"/>
      <c r="G108" s="12"/>
      <c r="H108" s="13"/>
      <c r="I108" s="242">
        <f>J99</f>
        <v>9247191.8981530014</v>
      </c>
      <c r="J108" s="243"/>
      <c r="K108" s="243"/>
      <c r="L108" s="243"/>
      <c r="M108" s="243"/>
      <c r="N108" s="244"/>
      <c r="O108" s="6"/>
    </row>
    <row r="109" spans="2:19">
      <c r="B109" s="5"/>
      <c r="C109" s="99" t="s">
        <v>124</v>
      </c>
      <c r="D109" s="19"/>
      <c r="E109" s="19"/>
      <c r="F109" s="19"/>
      <c r="G109" s="19"/>
      <c r="H109" s="21"/>
      <c r="I109" s="245">
        <f>I156</f>
        <v>41402945.816443734</v>
      </c>
      <c r="J109" s="246"/>
      <c r="K109" s="246"/>
      <c r="L109" s="246"/>
      <c r="M109" s="246"/>
      <c r="N109" s="247"/>
      <c r="O109" s="6"/>
    </row>
    <row r="110" spans="2:19" ht="15" thickBot="1">
      <c r="B110" s="5"/>
      <c r="C110" s="100" t="s">
        <v>125</v>
      </c>
      <c r="D110" s="26"/>
      <c r="E110" s="26"/>
      <c r="F110" s="26"/>
      <c r="G110" s="26"/>
      <c r="H110" s="101"/>
      <c r="I110" s="248">
        <f>MAX(I108-I109,0)</f>
        <v>0</v>
      </c>
      <c r="J110" s="249"/>
      <c r="K110" s="249"/>
      <c r="L110" s="249"/>
      <c r="M110" s="249"/>
      <c r="N110" s="250"/>
      <c r="O110" s="6"/>
    </row>
    <row r="111" spans="2:19" ht="15" thickBot="1">
      <c r="B111" s="5"/>
      <c r="C111" s="88"/>
      <c r="D111" s="7"/>
      <c r="E111" s="7"/>
      <c r="F111" s="7"/>
      <c r="G111" s="7"/>
      <c r="H111" s="7"/>
      <c r="I111" s="7"/>
      <c r="J111" s="96"/>
      <c r="K111" s="96"/>
      <c r="L111" s="96"/>
      <c r="M111" s="96"/>
      <c r="N111" s="97"/>
      <c r="O111" s="6"/>
    </row>
    <row r="112" spans="2:19">
      <c r="B112" s="5"/>
      <c r="C112" s="224" t="s">
        <v>126</v>
      </c>
      <c r="D112" s="225"/>
      <c r="E112" s="225"/>
      <c r="F112" s="225"/>
      <c r="G112" s="225"/>
      <c r="H112" s="225"/>
      <c r="I112" s="225"/>
      <c r="J112" s="225"/>
      <c r="K112" s="225"/>
      <c r="L112" s="225"/>
      <c r="M112" s="225"/>
      <c r="N112" s="226"/>
      <c r="O112" s="6"/>
    </row>
    <row r="113" spans="2:15">
      <c r="B113" s="5"/>
      <c r="C113" s="102"/>
      <c r="D113" s="103"/>
      <c r="E113" s="103"/>
      <c r="F113" s="103"/>
      <c r="G113" s="251" t="s">
        <v>127</v>
      </c>
      <c r="H113" s="252"/>
      <c r="I113" s="253" t="s">
        <v>128</v>
      </c>
      <c r="J113" s="254"/>
      <c r="K113" s="253" t="s">
        <v>129</v>
      </c>
      <c r="L113" s="254"/>
      <c r="M113" s="255" t="s">
        <v>130</v>
      </c>
      <c r="N113" s="256"/>
      <c r="O113" s="6"/>
    </row>
    <row r="114" spans="2:15">
      <c r="B114" s="5"/>
      <c r="C114" s="99" t="s">
        <v>131</v>
      </c>
      <c r="D114" s="27"/>
      <c r="E114" s="27"/>
      <c r="F114" s="27"/>
      <c r="G114" s="236">
        <v>0</v>
      </c>
      <c r="H114" s="237"/>
      <c r="I114" s="236">
        <v>0</v>
      </c>
      <c r="J114" s="237"/>
      <c r="K114" s="236" t="s">
        <v>132</v>
      </c>
      <c r="L114" s="237"/>
      <c r="M114" s="236" t="s">
        <v>132</v>
      </c>
      <c r="N114" s="238"/>
      <c r="O114" s="6"/>
    </row>
    <row r="115" spans="2:15" ht="15" thickBot="1">
      <c r="B115" s="5"/>
      <c r="C115" s="100" t="s">
        <v>133</v>
      </c>
      <c r="D115" s="86"/>
      <c r="E115" s="86"/>
      <c r="F115" s="86"/>
      <c r="G115" s="239">
        <v>0</v>
      </c>
      <c r="H115" s="240"/>
      <c r="I115" s="239">
        <v>0</v>
      </c>
      <c r="J115" s="240"/>
      <c r="K115" s="239" t="s">
        <v>132</v>
      </c>
      <c r="L115" s="240"/>
      <c r="M115" s="239" t="s">
        <v>132</v>
      </c>
      <c r="N115" s="241"/>
      <c r="O115" s="6"/>
    </row>
    <row r="116" spans="2:15" ht="15" thickBot="1">
      <c r="B116" s="5"/>
      <c r="C116" s="88"/>
      <c r="D116" s="7"/>
      <c r="E116" s="7"/>
      <c r="F116" s="7"/>
      <c r="G116" s="7"/>
      <c r="H116" s="7"/>
      <c r="I116" s="7"/>
      <c r="J116" s="7"/>
      <c r="K116" s="7"/>
      <c r="L116" s="7"/>
      <c r="M116" s="7"/>
      <c r="N116" s="7"/>
      <c r="O116" s="6"/>
    </row>
    <row r="117" spans="2:15">
      <c r="B117" s="5"/>
      <c r="C117" s="224" t="s">
        <v>134</v>
      </c>
      <c r="D117" s="225"/>
      <c r="E117" s="225"/>
      <c r="F117" s="225"/>
      <c r="G117" s="225"/>
      <c r="H117" s="225"/>
      <c r="I117" s="225"/>
      <c r="J117" s="225"/>
      <c r="K117" s="225"/>
      <c r="L117" s="225"/>
      <c r="M117" s="225"/>
      <c r="N117" s="226"/>
      <c r="O117" s="6"/>
    </row>
    <row r="118" spans="2:15">
      <c r="B118" s="5"/>
      <c r="C118" s="50" t="s">
        <v>135</v>
      </c>
      <c r="D118" s="31"/>
      <c r="E118" s="31"/>
      <c r="F118" s="31"/>
      <c r="G118" s="31"/>
      <c r="H118" s="31"/>
      <c r="I118" s="70"/>
      <c r="J118" s="261" t="s">
        <v>136</v>
      </c>
      <c r="K118" s="262"/>
      <c r="L118" s="262"/>
      <c r="M118" s="262"/>
      <c r="N118" s="104"/>
      <c r="O118" s="6"/>
    </row>
    <row r="119" spans="2:15">
      <c r="B119" s="5"/>
      <c r="C119" s="50" t="s">
        <v>137</v>
      </c>
      <c r="D119" s="31"/>
      <c r="E119" s="31"/>
      <c r="F119" s="31"/>
      <c r="G119" s="31"/>
      <c r="H119" s="31"/>
      <c r="I119" s="70"/>
      <c r="J119" s="261" t="s">
        <v>136</v>
      </c>
      <c r="K119" s="262"/>
      <c r="L119" s="262"/>
      <c r="M119" s="262"/>
      <c r="N119" s="104"/>
      <c r="O119" s="6"/>
    </row>
    <row r="120" spans="2:15">
      <c r="B120" s="5"/>
      <c r="C120" s="50" t="s">
        <v>138</v>
      </c>
      <c r="D120" s="31"/>
      <c r="E120" s="31"/>
      <c r="F120" s="31"/>
      <c r="G120" s="31"/>
      <c r="H120" s="31"/>
      <c r="I120" s="70"/>
      <c r="J120" s="261" t="s">
        <v>132</v>
      </c>
      <c r="K120" s="262"/>
      <c r="L120" s="262"/>
      <c r="M120" s="262"/>
      <c r="N120" s="104"/>
      <c r="O120" s="6"/>
    </row>
    <row r="121" spans="2:15">
      <c r="B121" s="5"/>
      <c r="C121" s="98" t="s">
        <v>139</v>
      </c>
      <c r="D121" s="72"/>
      <c r="E121" s="72"/>
      <c r="F121" s="72"/>
      <c r="G121" s="72"/>
      <c r="H121" s="72"/>
      <c r="I121" s="73"/>
      <c r="J121" s="263" t="s">
        <v>136</v>
      </c>
      <c r="K121" s="264"/>
      <c r="L121" s="264"/>
      <c r="M121" s="264"/>
      <c r="N121" s="265"/>
      <c r="O121" s="6"/>
    </row>
    <row r="122" spans="2:15">
      <c r="B122" s="5"/>
      <c r="C122" s="105" t="s">
        <v>140</v>
      </c>
      <c r="D122" s="65"/>
      <c r="E122" s="65"/>
      <c r="F122" s="65"/>
      <c r="G122" s="65"/>
      <c r="H122" s="65"/>
      <c r="I122" s="106"/>
      <c r="J122" s="266" t="s">
        <v>136</v>
      </c>
      <c r="K122" s="267"/>
      <c r="L122" s="267"/>
      <c r="M122" s="267"/>
      <c r="N122" s="107"/>
      <c r="O122" s="6"/>
    </row>
    <row r="123" spans="2:15">
      <c r="B123" s="5"/>
      <c r="C123" s="75" t="s">
        <v>141</v>
      </c>
      <c r="D123" s="31"/>
      <c r="E123" s="31"/>
      <c r="F123" s="31"/>
      <c r="G123" s="31"/>
      <c r="H123" s="31"/>
      <c r="I123" s="108"/>
      <c r="J123" s="257" t="s">
        <v>136</v>
      </c>
      <c r="K123" s="258"/>
      <c r="L123" s="258"/>
      <c r="M123" s="109"/>
      <c r="N123" s="110"/>
      <c r="O123" s="6"/>
    </row>
    <row r="124" spans="2:15">
      <c r="B124" s="5"/>
      <c r="C124" s="75" t="s">
        <v>142</v>
      </c>
      <c r="D124" s="31"/>
      <c r="E124" s="31"/>
      <c r="F124" s="31"/>
      <c r="G124" s="31"/>
      <c r="H124" s="31"/>
      <c r="I124" s="108"/>
      <c r="J124" s="259" t="s">
        <v>136</v>
      </c>
      <c r="K124" s="260"/>
      <c r="L124" s="260"/>
      <c r="M124" s="109"/>
      <c r="N124" s="110"/>
      <c r="O124" s="6"/>
    </row>
    <row r="125" spans="2:15">
      <c r="B125" s="5"/>
      <c r="C125" s="75" t="s">
        <v>143</v>
      </c>
      <c r="D125" s="31"/>
      <c r="E125" s="31"/>
      <c r="F125" s="31"/>
      <c r="G125" s="31"/>
      <c r="H125" s="31"/>
      <c r="I125" s="108"/>
      <c r="J125" s="259" t="s">
        <v>132</v>
      </c>
      <c r="K125" s="260"/>
      <c r="L125" s="260"/>
      <c r="M125" s="109"/>
      <c r="N125" s="110"/>
      <c r="O125" s="6"/>
    </row>
    <row r="126" spans="2:15">
      <c r="B126" s="5"/>
      <c r="C126" s="75" t="s">
        <v>144</v>
      </c>
      <c r="D126" s="31"/>
      <c r="E126" s="31"/>
      <c r="F126" s="31"/>
      <c r="G126" s="31"/>
      <c r="H126" s="31"/>
      <c r="I126" s="108"/>
      <c r="J126" s="259" t="s">
        <v>132</v>
      </c>
      <c r="K126" s="260"/>
      <c r="L126" s="260"/>
      <c r="M126" s="109"/>
      <c r="N126" s="110"/>
      <c r="O126" s="6"/>
    </row>
    <row r="127" spans="2:15">
      <c r="B127" s="5"/>
      <c r="C127" s="75" t="s">
        <v>145</v>
      </c>
      <c r="D127" s="31"/>
      <c r="E127" s="31"/>
      <c r="F127" s="31"/>
      <c r="G127" s="31"/>
      <c r="H127" s="31"/>
      <c r="I127" s="108"/>
      <c r="J127" s="259" t="s">
        <v>132</v>
      </c>
      <c r="K127" s="260"/>
      <c r="L127" s="260"/>
      <c r="M127" s="109"/>
      <c r="N127" s="110"/>
      <c r="O127" s="6"/>
    </row>
    <row r="128" spans="2:15">
      <c r="B128" s="5"/>
      <c r="C128" s="75" t="s">
        <v>146</v>
      </c>
      <c r="D128" s="31"/>
      <c r="E128" s="31"/>
      <c r="F128" s="31"/>
      <c r="G128" s="31"/>
      <c r="H128" s="31"/>
      <c r="I128" s="108"/>
      <c r="J128" s="259" t="s">
        <v>132</v>
      </c>
      <c r="K128" s="260"/>
      <c r="L128" s="260"/>
      <c r="M128" s="109"/>
      <c r="N128" s="110"/>
      <c r="O128" s="6"/>
    </row>
    <row r="129" spans="2:15">
      <c r="B129" s="5"/>
      <c r="C129" s="75" t="s">
        <v>147</v>
      </c>
      <c r="D129" s="31"/>
      <c r="E129" s="31"/>
      <c r="F129" s="31"/>
      <c r="G129" s="31"/>
      <c r="H129" s="31"/>
      <c r="I129" s="108"/>
      <c r="J129" s="259" t="s">
        <v>132</v>
      </c>
      <c r="K129" s="260"/>
      <c r="L129" s="260"/>
      <c r="M129" s="109"/>
      <c r="N129" s="110"/>
      <c r="O129" s="6"/>
    </row>
    <row r="130" spans="2:15">
      <c r="B130" s="5"/>
      <c r="C130" s="98" t="s">
        <v>148</v>
      </c>
      <c r="D130" s="72"/>
      <c r="E130" s="72"/>
      <c r="F130" s="72"/>
      <c r="G130" s="72"/>
      <c r="H130" s="72"/>
      <c r="I130" s="111"/>
      <c r="J130" s="263" t="s">
        <v>136</v>
      </c>
      <c r="K130" s="264"/>
      <c r="L130" s="264"/>
      <c r="M130" s="264"/>
      <c r="N130" s="265"/>
      <c r="O130" s="6"/>
    </row>
    <row r="131" spans="2:15">
      <c r="B131" s="5"/>
      <c r="C131" s="105" t="s">
        <v>149</v>
      </c>
      <c r="D131" s="65"/>
      <c r="E131" s="65"/>
      <c r="F131" s="65"/>
      <c r="G131" s="65"/>
      <c r="H131" s="65"/>
      <c r="I131" s="106"/>
      <c r="J131" s="261" t="s">
        <v>136</v>
      </c>
      <c r="K131" s="262"/>
      <c r="L131" s="262"/>
      <c r="M131" s="262"/>
      <c r="N131" s="107"/>
      <c r="O131" s="6"/>
    </row>
    <row r="132" spans="2:15" ht="15" thickBot="1">
      <c r="B132" s="5"/>
      <c r="C132" s="100" t="s">
        <v>150</v>
      </c>
      <c r="D132" s="86"/>
      <c r="E132" s="86"/>
      <c r="F132" s="86"/>
      <c r="G132" s="86"/>
      <c r="H132" s="86"/>
      <c r="I132" s="112"/>
      <c r="J132" s="263" t="s">
        <v>136</v>
      </c>
      <c r="K132" s="264"/>
      <c r="L132" s="264"/>
      <c r="M132" s="264"/>
      <c r="N132" s="265"/>
      <c r="O132" s="6"/>
    </row>
    <row r="133" spans="2:15" ht="15" thickBot="1">
      <c r="B133" s="5"/>
      <c r="C133" s="88"/>
      <c r="D133" s="7"/>
      <c r="E133" s="7"/>
      <c r="F133" s="7"/>
      <c r="G133" s="7"/>
      <c r="H133" s="7"/>
      <c r="I133" s="7"/>
      <c r="J133" s="7"/>
      <c r="K133" s="7"/>
      <c r="L133" s="7"/>
      <c r="M133" s="7"/>
      <c r="N133" s="7"/>
      <c r="O133" s="6"/>
    </row>
    <row r="134" spans="2:15">
      <c r="B134" s="5"/>
      <c r="C134" s="224" t="s">
        <v>151</v>
      </c>
      <c r="D134" s="225"/>
      <c r="E134" s="225"/>
      <c r="F134" s="225"/>
      <c r="G134" s="225"/>
      <c r="H134" s="225"/>
      <c r="I134" s="225"/>
      <c r="J134" s="225"/>
      <c r="K134" s="225"/>
      <c r="L134" s="225"/>
      <c r="M134" s="225"/>
      <c r="N134" s="226"/>
      <c r="O134" s="6"/>
    </row>
    <row r="135" spans="2:15" ht="45.75" customHeight="1">
      <c r="B135" s="5"/>
      <c r="C135" s="268" t="s">
        <v>152</v>
      </c>
      <c r="D135" s="269"/>
      <c r="E135" s="270"/>
      <c r="F135" s="271" t="s">
        <v>153</v>
      </c>
      <c r="G135" s="272"/>
      <c r="H135" s="273"/>
      <c r="I135" s="274" t="s">
        <v>154</v>
      </c>
      <c r="J135" s="275"/>
      <c r="K135" s="276"/>
      <c r="L135" s="271" t="s">
        <v>155</v>
      </c>
      <c r="M135" s="272"/>
      <c r="N135" s="277"/>
      <c r="O135" s="6"/>
    </row>
    <row r="136" spans="2:15">
      <c r="B136" s="5"/>
      <c r="C136" s="99" t="s">
        <v>156</v>
      </c>
      <c r="D136" s="27"/>
      <c r="E136" s="27"/>
      <c r="F136" s="278">
        <v>251290.79</v>
      </c>
      <c r="G136" s="279"/>
      <c r="H136" s="279"/>
      <c r="I136" s="280">
        <f>J92</f>
        <v>61242490.417918906</v>
      </c>
      <c r="J136" s="281"/>
      <c r="K136" s="282"/>
      <c r="L136" s="279">
        <f>F136</f>
        <v>251290.79</v>
      </c>
      <c r="M136" s="279"/>
      <c r="N136" s="283"/>
      <c r="O136" s="6"/>
    </row>
    <row r="137" spans="2:15">
      <c r="B137" s="5"/>
      <c r="C137" s="78" t="s">
        <v>157</v>
      </c>
      <c r="D137" s="65"/>
      <c r="E137" s="65"/>
      <c r="F137" s="278">
        <f>SUM(F138:G139)</f>
        <v>74175</v>
      </c>
      <c r="G137" s="279"/>
      <c r="H137" s="279"/>
      <c r="I137" s="278">
        <f>I136-L136</f>
        <v>60991199.627918907</v>
      </c>
      <c r="J137" s="279"/>
      <c r="K137" s="284"/>
      <c r="L137" s="279">
        <f>SUM(L138:M139)</f>
        <v>74175</v>
      </c>
      <c r="M137" s="279"/>
      <c r="N137" s="283"/>
      <c r="O137" s="6"/>
    </row>
    <row r="138" spans="2:15">
      <c r="B138" s="5"/>
      <c r="C138" s="50" t="s">
        <v>158</v>
      </c>
      <c r="D138" s="31"/>
      <c r="E138" s="31"/>
      <c r="F138" s="215">
        <f>SUM(7187.5,4312.5,2300)</f>
        <v>13800</v>
      </c>
      <c r="G138" s="216"/>
      <c r="H138" s="113"/>
      <c r="I138" s="215">
        <f>I137*F138/$F$137</f>
        <v>11347199.930775611</v>
      </c>
      <c r="J138" s="216"/>
      <c r="K138" s="114"/>
      <c r="L138" s="216">
        <f>F138</f>
        <v>13800</v>
      </c>
      <c r="M138" s="216"/>
      <c r="N138" s="115"/>
      <c r="O138" s="6"/>
    </row>
    <row r="139" spans="2:15">
      <c r="B139" s="5"/>
      <c r="C139" s="50" t="s">
        <v>159</v>
      </c>
      <c r="D139" s="31"/>
      <c r="E139" s="31"/>
      <c r="F139" s="215">
        <f>SUM(38812.5,4312.5,17250)</f>
        <v>60375</v>
      </c>
      <c r="G139" s="216"/>
      <c r="H139" s="116"/>
      <c r="I139" s="227">
        <f>I137*F139/$F$137</f>
        <v>49643999.697143294</v>
      </c>
      <c r="J139" s="228"/>
      <c r="K139" s="117"/>
      <c r="L139" s="228">
        <f>F139</f>
        <v>60375</v>
      </c>
      <c r="M139" s="228"/>
      <c r="N139" s="118"/>
      <c r="O139" s="6"/>
    </row>
    <row r="140" spans="2:15">
      <c r="B140" s="5"/>
      <c r="C140" s="78" t="s">
        <v>160</v>
      </c>
      <c r="D140" s="65"/>
      <c r="E140" s="65"/>
      <c r="F140" s="278">
        <f>SUM(F141:G142)</f>
        <v>523949.04</v>
      </c>
      <c r="G140" s="279"/>
      <c r="H140" s="279"/>
      <c r="I140" s="278">
        <f>I137-L137</f>
        <v>60917024.627918907</v>
      </c>
      <c r="J140" s="279"/>
      <c r="K140" s="284"/>
      <c r="L140" s="278">
        <f>SUM(L141:M142)</f>
        <v>523949.04</v>
      </c>
      <c r="M140" s="279"/>
      <c r="N140" s="283"/>
      <c r="O140" s="6"/>
    </row>
    <row r="141" spans="2:15">
      <c r="B141" s="5"/>
      <c r="C141" s="50" t="s">
        <v>161</v>
      </c>
      <c r="D141" s="31"/>
      <c r="E141" s="31"/>
      <c r="F141" s="215">
        <v>240</v>
      </c>
      <c r="G141" s="216"/>
      <c r="H141" s="113"/>
      <c r="I141" s="215">
        <f>$I$140*F141/$F$140</f>
        <v>27903.640992834986</v>
      </c>
      <c r="J141" s="216"/>
      <c r="K141" s="113"/>
      <c r="L141" s="215">
        <f>F141</f>
        <v>240</v>
      </c>
      <c r="M141" s="216"/>
      <c r="N141" s="115"/>
      <c r="O141" s="6"/>
    </row>
    <row r="142" spans="2:15">
      <c r="B142" s="5"/>
      <c r="C142" s="50" t="s">
        <v>162</v>
      </c>
      <c r="D142" s="31"/>
      <c r="E142" s="31"/>
      <c r="F142" s="215">
        <v>523709.04</v>
      </c>
      <c r="G142" s="216"/>
      <c r="H142" s="113"/>
      <c r="I142" s="227">
        <f>$I$140*F142/$F$140</f>
        <v>60889120.986926071</v>
      </c>
      <c r="J142" s="228"/>
      <c r="K142" s="116"/>
      <c r="L142" s="227">
        <f>F142</f>
        <v>523709.04</v>
      </c>
      <c r="M142" s="228"/>
      <c r="N142" s="118"/>
      <c r="O142" s="6"/>
    </row>
    <row r="143" spans="2:15">
      <c r="B143" s="5"/>
      <c r="C143" s="78" t="s">
        <v>163</v>
      </c>
      <c r="D143" s="65"/>
      <c r="E143" s="65"/>
      <c r="F143" s="278">
        <f>SUM(F144:G146)</f>
        <v>3164544.1761077736</v>
      </c>
      <c r="G143" s="279"/>
      <c r="H143" s="284"/>
      <c r="I143" s="278">
        <f>I140-L140</f>
        <v>60393075.587918907</v>
      </c>
      <c r="J143" s="279"/>
      <c r="K143" s="284"/>
      <c r="L143" s="278">
        <f>SUM(L144:M146)</f>
        <v>3164544.1761077736</v>
      </c>
      <c r="M143" s="279"/>
      <c r="N143" s="283"/>
      <c r="O143" s="6"/>
    </row>
    <row r="144" spans="2:15">
      <c r="B144" s="5"/>
      <c r="C144" s="50" t="s">
        <v>164</v>
      </c>
      <c r="D144" s="31"/>
      <c r="E144" s="31"/>
      <c r="F144" s="215">
        <v>2676696.8473413987</v>
      </c>
      <c r="G144" s="216"/>
      <c r="H144" s="114"/>
      <c r="I144" s="215">
        <f>$I$143*F144/$F$143</f>
        <v>51082856.181284025</v>
      </c>
      <c r="J144" s="216"/>
      <c r="K144" s="114"/>
      <c r="L144" s="215">
        <f>F144</f>
        <v>2676696.8473413987</v>
      </c>
      <c r="M144" s="216"/>
      <c r="N144" s="115"/>
      <c r="O144" s="6"/>
    </row>
    <row r="145" spans="2:15">
      <c r="B145" s="5"/>
      <c r="C145" s="50" t="s">
        <v>165</v>
      </c>
      <c r="D145" s="31"/>
      <c r="E145" s="31"/>
      <c r="F145" s="215">
        <v>172500</v>
      </c>
      <c r="G145" s="216"/>
      <c r="H145" s="114"/>
      <c r="I145" s="215">
        <f t="shared" ref="I145:I146" si="9">$I$143*F145/$F$143</f>
        <v>3292039.8512904872</v>
      </c>
      <c r="J145" s="216"/>
      <c r="K145" s="114"/>
      <c r="L145" s="215">
        <f>F145</f>
        <v>172500</v>
      </c>
      <c r="M145" s="216"/>
      <c r="N145" s="115"/>
      <c r="O145" s="6"/>
    </row>
    <row r="146" spans="2:15">
      <c r="B146" s="5"/>
      <c r="C146" s="50" t="s">
        <v>166</v>
      </c>
      <c r="D146" s="31"/>
      <c r="E146" s="31"/>
      <c r="F146" s="227">
        <v>315347.32876637497</v>
      </c>
      <c r="G146" s="228"/>
      <c r="H146" s="119"/>
      <c r="I146" s="227">
        <f t="shared" si="9"/>
        <v>6018179.5553444019</v>
      </c>
      <c r="J146" s="228"/>
      <c r="K146" s="119"/>
      <c r="L146" s="227">
        <f>F146</f>
        <v>315347.32876637497</v>
      </c>
      <c r="M146" s="228"/>
      <c r="N146" s="120"/>
      <c r="O146" s="6"/>
    </row>
    <row r="147" spans="2:15">
      <c r="B147" s="5"/>
      <c r="C147" s="99" t="s">
        <v>167</v>
      </c>
      <c r="D147" s="27"/>
      <c r="E147" s="27"/>
      <c r="F147" s="278">
        <v>0</v>
      </c>
      <c r="G147" s="279"/>
      <c r="H147" s="279"/>
      <c r="I147" s="280">
        <f>I143-L143</f>
        <v>57228531.411811136</v>
      </c>
      <c r="J147" s="281"/>
      <c r="K147" s="282"/>
      <c r="L147" s="278">
        <f>F147</f>
        <v>0</v>
      </c>
      <c r="M147" s="279"/>
      <c r="N147" s="283"/>
      <c r="O147" s="6"/>
    </row>
    <row r="148" spans="2:15">
      <c r="B148" s="5"/>
      <c r="C148" s="78" t="s">
        <v>168</v>
      </c>
      <c r="D148" s="65"/>
      <c r="E148" s="65"/>
      <c r="F148" s="278">
        <v>0</v>
      </c>
      <c r="G148" s="279"/>
      <c r="H148" s="279"/>
      <c r="I148" s="280">
        <f>I147-L147</f>
        <v>57228531.411811136</v>
      </c>
      <c r="J148" s="281"/>
      <c r="K148" s="282"/>
      <c r="L148" s="278">
        <f>F148</f>
        <v>0</v>
      </c>
      <c r="M148" s="279"/>
      <c r="N148" s="283"/>
      <c r="O148" s="6"/>
    </row>
    <row r="149" spans="2:15">
      <c r="B149" s="5"/>
      <c r="C149" s="78" t="s">
        <v>169</v>
      </c>
      <c r="D149" s="65"/>
      <c r="E149" s="65"/>
      <c r="F149" s="278">
        <f>SUM(F150:G152)</f>
        <v>11861004.773449589</v>
      </c>
      <c r="G149" s="279"/>
      <c r="H149" s="284"/>
      <c r="I149" s="278">
        <f>I148-L148</f>
        <v>57228531.411811136</v>
      </c>
      <c r="J149" s="279"/>
      <c r="K149" s="284"/>
      <c r="L149" s="278">
        <f>SUM(L150:M152)</f>
        <v>11861004.773449589</v>
      </c>
      <c r="M149" s="279"/>
      <c r="N149" s="283"/>
      <c r="O149" s="6"/>
    </row>
    <row r="150" spans="2:15">
      <c r="B150" s="5"/>
      <c r="C150" s="75" t="s">
        <v>170</v>
      </c>
      <c r="D150" s="31"/>
      <c r="E150" s="31"/>
      <c r="F150" s="215">
        <f>G36+H36</f>
        <v>2418078.9104358903</v>
      </c>
      <c r="G150" s="216"/>
      <c r="H150" s="114"/>
      <c r="I150" s="215">
        <f>$I$149*F150/$F$149</f>
        <v>11667064.260178341</v>
      </c>
      <c r="J150" s="216"/>
      <c r="K150" s="114"/>
      <c r="L150" s="215">
        <f t="shared" ref="L150:L158" si="10">F150</f>
        <v>2418078.9104358903</v>
      </c>
      <c r="M150" s="216"/>
      <c r="N150" s="115"/>
      <c r="O150" s="6"/>
    </row>
    <row r="151" spans="2:15">
      <c r="B151" s="5"/>
      <c r="C151" s="75" t="s">
        <v>171</v>
      </c>
      <c r="D151" s="31"/>
      <c r="E151" s="31"/>
      <c r="F151" s="215">
        <f>I36+J36</f>
        <v>9442925.8630136978</v>
      </c>
      <c r="G151" s="216"/>
      <c r="H151" s="114"/>
      <c r="I151" s="215">
        <f t="shared" ref="I151:I152" si="11">$I$149*F151/$F$149</f>
        <v>45561467.151632793</v>
      </c>
      <c r="J151" s="216"/>
      <c r="K151" s="114"/>
      <c r="L151" s="215">
        <f t="shared" si="10"/>
        <v>9442925.8630136978</v>
      </c>
      <c r="M151" s="216"/>
      <c r="N151" s="115"/>
      <c r="O151" s="6"/>
    </row>
    <row r="152" spans="2:15">
      <c r="B152" s="5"/>
      <c r="C152" s="75" t="s">
        <v>172</v>
      </c>
      <c r="D152" s="72"/>
      <c r="E152" s="72"/>
      <c r="F152" s="227">
        <v>0</v>
      </c>
      <c r="G152" s="228"/>
      <c r="H152" s="119"/>
      <c r="I152" s="227">
        <f t="shared" si="11"/>
        <v>0</v>
      </c>
      <c r="J152" s="228"/>
      <c r="K152" s="119"/>
      <c r="L152" s="227">
        <f t="shared" si="10"/>
        <v>0</v>
      </c>
      <c r="M152" s="228"/>
      <c r="N152" s="120"/>
      <c r="O152" s="6"/>
    </row>
    <row r="153" spans="2:15">
      <c r="B153" s="5"/>
      <c r="C153" s="99" t="s">
        <v>173</v>
      </c>
      <c r="D153" s="27"/>
      <c r="E153" s="27"/>
      <c r="F153" s="278">
        <f>K36+L36</f>
        <v>3229394.9041095893</v>
      </c>
      <c r="G153" s="279"/>
      <c r="H153" s="279"/>
      <c r="I153" s="280">
        <f>I149-L149</f>
        <v>45367526.638361543</v>
      </c>
      <c r="J153" s="281"/>
      <c r="K153" s="282"/>
      <c r="L153" s="278">
        <f t="shared" si="10"/>
        <v>3229394.9041095893</v>
      </c>
      <c r="M153" s="279"/>
      <c r="N153" s="283"/>
      <c r="O153" s="6"/>
    </row>
    <row r="154" spans="2:15">
      <c r="B154" s="5"/>
      <c r="C154" s="99" t="s">
        <v>174</v>
      </c>
      <c r="D154" s="27"/>
      <c r="E154" s="27"/>
      <c r="F154" s="278">
        <f>M36+N36</f>
        <v>735185.91780821909</v>
      </c>
      <c r="G154" s="279"/>
      <c r="H154" s="279"/>
      <c r="I154" s="280">
        <f>I153-L153</f>
        <v>42138131.734251954</v>
      </c>
      <c r="J154" s="281"/>
      <c r="K154" s="282"/>
      <c r="L154" s="278">
        <f t="shared" si="10"/>
        <v>735185.91780821909</v>
      </c>
      <c r="M154" s="279"/>
      <c r="N154" s="283"/>
      <c r="O154" s="6"/>
    </row>
    <row r="155" spans="2:15">
      <c r="B155" s="5"/>
      <c r="C155" s="99" t="s">
        <v>175</v>
      </c>
      <c r="D155" s="27"/>
      <c r="E155" s="27"/>
      <c r="F155" s="278">
        <v>0</v>
      </c>
      <c r="G155" s="279"/>
      <c r="H155" s="279"/>
      <c r="I155" s="280">
        <f>I154-L154</f>
        <v>41402945.816443734</v>
      </c>
      <c r="J155" s="281"/>
      <c r="K155" s="282"/>
      <c r="L155" s="278">
        <f t="shared" si="10"/>
        <v>0</v>
      </c>
      <c r="M155" s="279"/>
      <c r="N155" s="283"/>
      <c r="O155" s="6"/>
    </row>
    <row r="156" spans="2:15">
      <c r="B156" s="5"/>
      <c r="C156" s="99" t="s">
        <v>176</v>
      </c>
      <c r="D156" s="27"/>
      <c r="E156" s="27"/>
      <c r="F156" s="278">
        <v>0</v>
      </c>
      <c r="G156" s="279"/>
      <c r="H156" s="279"/>
      <c r="I156" s="280">
        <f>I155-L155</f>
        <v>41402945.816443734</v>
      </c>
      <c r="J156" s="281"/>
      <c r="K156" s="282"/>
      <c r="L156" s="278">
        <f t="shared" si="10"/>
        <v>0</v>
      </c>
      <c r="M156" s="279"/>
      <c r="N156" s="283"/>
      <c r="O156" s="6"/>
    </row>
    <row r="157" spans="2:15">
      <c r="B157" s="5"/>
      <c r="C157" s="99" t="s">
        <v>177</v>
      </c>
      <c r="D157" s="27"/>
      <c r="E157" s="27"/>
      <c r="F157" s="278">
        <v>0</v>
      </c>
      <c r="G157" s="279"/>
      <c r="H157" s="279"/>
      <c r="I157" s="280">
        <f>I156-L156</f>
        <v>41402945.816443734</v>
      </c>
      <c r="J157" s="281"/>
      <c r="K157" s="282"/>
      <c r="L157" s="278">
        <f t="shared" si="10"/>
        <v>0</v>
      </c>
      <c r="M157" s="279"/>
      <c r="N157" s="283"/>
      <c r="O157" s="6"/>
    </row>
    <row r="158" spans="2:15">
      <c r="B158" s="5"/>
      <c r="C158" s="99" t="s">
        <v>178</v>
      </c>
      <c r="D158" s="27"/>
      <c r="E158" s="27"/>
      <c r="F158" s="278">
        <f>I201</f>
        <v>0</v>
      </c>
      <c r="G158" s="279"/>
      <c r="H158" s="279"/>
      <c r="I158" s="280">
        <f>I154-L154</f>
        <v>41402945.816443734</v>
      </c>
      <c r="J158" s="281"/>
      <c r="K158" s="282"/>
      <c r="L158" s="278">
        <f t="shared" si="10"/>
        <v>0</v>
      </c>
      <c r="M158" s="279"/>
      <c r="N158" s="283"/>
      <c r="O158" s="6"/>
    </row>
    <row r="159" spans="2:15">
      <c r="B159" s="5"/>
      <c r="C159" s="78" t="s">
        <v>179</v>
      </c>
      <c r="D159" s="65"/>
      <c r="E159" s="65"/>
      <c r="F159" s="278">
        <f>SUM(F160,F164:G165)</f>
        <v>9247191.8981530014</v>
      </c>
      <c r="G159" s="279"/>
      <c r="H159" s="279"/>
      <c r="I159" s="278">
        <f>I158-L158</f>
        <v>41402945.816443734</v>
      </c>
      <c r="J159" s="279"/>
      <c r="K159" s="284"/>
      <c r="L159" s="278">
        <f>SUM(L160,L164:M165)</f>
        <v>9247191.8981530014</v>
      </c>
      <c r="M159" s="279"/>
      <c r="N159" s="283"/>
      <c r="O159" s="6"/>
    </row>
    <row r="160" spans="2:15">
      <c r="B160" s="5"/>
      <c r="C160" s="50" t="s">
        <v>180</v>
      </c>
      <c r="D160" s="31"/>
      <c r="E160" s="31"/>
      <c r="F160" s="215">
        <f>SUM(F161:G163)</f>
        <v>9247191.8981530014</v>
      </c>
      <c r="G160" s="216"/>
      <c r="H160" s="121"/>
      <c r="I160" s="215">
        <f>F160/$F$159*I159</f>
        <v>41402945.816443734</v>
      </c>
      <c r="J160" s="216"/>
      <c r="K160" s="121"/>
      <c r="L160" s="215">
        <f t="shared" ref="L160:L167" si="12">F160</f>
        <v>9247191.8981530014</v>
      </c>
      <c r="M160" s="216"/>
      <c r="N160" s="122"/>
      <c r="O160" s="6"/>
    </row>
    <row r="161" spans="2:15">
      <c r="B161" s="5"/>
      <c r="C161" s="75" t="s">
        <v>170</v>
      </c>
      <c r="D161" s="31"/>
      <c r="E161" s="31"/>
      <c r="F161" s="215">
        <f>J99</f>
        <v>9247191.8981530014</v>
      </c>
      <c r="G161" s="216"/>
      <c r="H161" s="121"/>
      <c r="I161" s="215">
        <f>F161/$F$159*I159</f>
        <v>41402945.816443734</v>
      </c>
      <c r="J161" s="216"/>
      <c r="K161" s="121"/>
      <c r="L161" s="215">
        <f t="shared" si="12"/>
        <v>9247191.8981530014</v>
      </c>
      <c r="M161" s="216"/>
      <c r="N161" s="122"/>
      <c r="O161" s="6"/>
    </row>
    <row r="162" spans="2:15">
      <c r="B162" s="5"/>
      <c r="C162" s="75" t="s">
        <v>171</v>
      </c>
      <c r="D162" s="31"/>
      <c r="E162" s="31"/>
      <c r="F162" s="215">
        <v>0</v>
      </c>
      <c r="G162" s="216"/>
      <c r="H162" s="121"/>
      <c r="I162" s="215">
        <f>F162/$F$159*I159</f>
        <v>0</v>
      </c>
      <c r="J162" s="216"/>
      <c r="K162" s="121"/>
      <c r="L162" s="215">
        <f t="shared" si="12"/>
        <v>0</v>
      </c>
      <c r="M162" s="216"/>
      <c r="N162" s="122"/>
      <c r="O162" s="6"/>
    </row>
    <row r="163" spans="2:15">
      <c r="B163" s="5"/>
      <c r="C163" s="75" t="s">
        <v>172</v>
      </c>
      <c r="D163" s="31"/>
      <c r="E163" s="31"/>
      <c r="F163" s="215">
        <v>0</v>
      </c>
      <c r="G163" s="216"/>
      <c r="H163" s="121"/>
      <c r="I163" s="215">
        <f>F163/$F$159*I159</f>
        <v>0</v>
      </c>
      <c r="J163" s="216"/>
      <c r="K163" s="121"/>
      <c r="L163" s="215">
        <f t="shared" si="12"/>
        <v>0</v>
      </c>
      <c r="M163" s="216"/>
      <c r="N163" s="122"/>
      <c r="O163" s="6"/>
    </row>
    <row r="164" spans="2:15">
      <c r="B164" s="5"/>
      <c r="C164" s="50" t="s">
        <v>181</v>
      </c>
      <c r="D164" s="31"/>
      <c r="E164" s="31"/>
      <c r="F164" s="215">
        <v>0</v>
      </c>
      <c r="G164" s="216"/>
      <c r="H164" s="121"/>
      <c r="I164" s="215">
        <f>F164/$F$159*I159</f>
        <v>0</v>
      </c>
      <c r="J164" s="216"/>
      <c r="K164" s="121"/>
      <c r="L164" s="215">
        <f t="shared" si="12"/>
        <v>0</v>
      </c>
      <c r="M164" s="216"/>
      <c r="N164" s="122"/>
      <c r="O164" s="6"/>
    </row>
    <row r="165" spans="2:15">
      <c r="B165" s="5"/>
      <c r="C165" s="71" t="s">
        <v>182</v>
      </c>
      <c r="D165" s="72"/>
      <c r="E165" s="72"/>
      <c r="F165" s="215">
        <v>0</v>
      </c>
      <c r="G165" s="216"/>
      <c r="H165" s="119"/>
      <c r="I165" s="227">
        <f>F165/$F$159*I159</f>
        <v>0</v>
      </c>
      <c r="J165" s="228"/>
      <c r="K165" s="119"/>
      <c r="L165" s="215">
        <f t="shared" si="12"/>
        <v>0</v>
      </c>
      <c r="M165" s="216"/>
      <c r="N165" s="120"/>
      <c r="O165" s="6"/>
    </row>
    <row r="166" spans="2:15">
      <c r="B166" s="5"/>
      <c r="C166" s="99" t="s">
        <v>183</v>
      </c>
      <c r="D166" s="27"/>
      <c r="E166" s="27"/>
      <c r="F166" s="278">
        <f>I192</f>
        <v>24669669.745499998</v>
      </c>
      <c r="G166" s="279"/>
      <c r="H166" s="279"/>
      <c r="I166" s="280">
        <f>I159-L159</f>
        <v>32155753.918290734</v>
      </c>
      <c r="J166" s="281"/>
      <c r="K166" s="282"/>
      <c r="L166" s="278">
        <f t="shared" si="12"/>
        <v>24669669.745499998</v>
      </c>
      <c r="M166" s="279"/>
      <c r="N166" s="283"/>
      <c r="O166" s="6"/>
    </row>
    <row r="167" spans="2:15">
      <c r="B167" s="5"/>
      <c r="C167" s="99" t="s">
        <v>184</v>
      </c>
      <c r="D167" s="27"/>
      <c r="E167" s="27"/>
      <c r="F167" s="278">
        <v>0</v>
      </c>
      <c r="G167" s="279"/>
      <c r="H167" s="279"/>
      <c r="I167" s="280">
        <f>I166-L166</f>
        <v>7486084.172790736</v>
      </c>
      <c r="J167" s="281"/>
      <c r="K167" s="282"/>
      <c r="L167" s="278">
        <f t="shared" si="12"/>
        <v>0</v>
      </c>
      <c r="M167" s="279"/>
      <c r="N167" s="283"/>
      <c r="O167" s="6"/>
    </row>
    <row r="168" spans="2:15">
      <c r="B168" s="5"/>
      <c r="C168" s="78" t="s">
        <v>185</v>
      </c>
      <c r="D168" s="65"/>
      <c r="E168" s="65"/>
      <c r="F168" s="278">
        <f>SUM(F169:G170)</f>
        <v>0</v>
      </c>
      <c r="G168" s="279"/>
      <c r="H168" s="279"/>
      <c r="I168" s="278">
        <f>I167-L167</f>
        <v>7486084.172790736</v>
      </c>
      <c r="J168" s="279"/>
      <c r="K168" s="284"/>
      <c r="L168" s="278">
        <f>SUM(L169:M170)</f>
        <v>0</v>
      </c>
      <c r="M168" s="279"/>
      <c r="N168" s="283"/>
      <c r="O168" s="6"/>
    </row>
    <row r="169" spans="2:15">
      <c r="B169" s="5"/>
      <c r="C169" s="50" t="s">
        <v>181</v>
      </c>
      <c r="D169" s="31"/>
      <c r="E169" s="31"/>
      <c r="F169" s="215">
        <v>0</v>
      </c>
      <c r="G169" s="216"/>
      <c r="H169" s="113"/>
      <c r="I169" s="285">
        <f>IFERROR(F169/$F$168*$I$168,0)</f>
        <v>0</v>
      </c>
      <c r="J169" s="286"/>
      <c r="K169" s="113"/>
      <c r="L169" s="215">
        <f>F169</f>
        <v>0</v>
      </c>
      <c r="M169" s="216"/>
      <c r="N169" s="115"/>
      <c r="O169" s="6"/>
    </row>
    <row r="170" spans="2:15">
      <c r="B170" s="5"/>
      <c r="C170" s="71" t="s">
        <v>182</v>
      </c>
      <c r="D170" s="72"/>
      <c r="E170" s="72"/>
      <c r="F170" s="215">
        <v>0</v>
      </c>
      <c r="G170" s="216"/>
      <c r="H170" s="113"/>
      <c r="I170" s="227">
        <f>IFERROR(F170/$F$168*$I$168,0)</f>
        <v>0</v>
      </c>
      <c r="J170" s="228"/>
      <c r="K170" s="113"/>
      <c r="L170" s="215">
        <f>F170</f>
        <v>0</v>
      </c>
      <c r="M170" s="216"/>
      <c r="N170" s="115"/>
      <c r="O170" s="6"/>
    </row>
    <row r="171" spans="2:15">
      <c r="B171" s="5"/>
      <c r="C171" s="99" t="s">
        <v>186</v>
      </c>
      <c r="D171" s="72"/>
      <c r="E171" s="72"/>
      <c r="F171" s="278">
        <v>0</v>
      </c>
      <c r="G171" s="279"/>
      <c r="H171" s="279"/>
      <c r="I171" s="280">
        <f>I168-L168</f>
        <v>7486084.172790736</v>
      </c>
      <c r="J171" s="281"/>
      <c r="K171" s="282"/>
      <c r="L171" s="278">
        <f>F171</f>
        <v>0</v>
      </c>
      <c r="M171" s="279"/>
      <c r="N171" s="283"/>
      <c r="O171" s="6"/>
    </row>
    <row r="172" spans="2:15">
      <c r="B172" s="5"/>
      <c r="C172" s="99" t="s">
        <v>187</v>
      </c>
      <c r="D172" s="27"/>
      <c r="E172" s="27"/>
      <c r="F172" s="278">
        <v>0</v>
      </c>
      <c r="G172" s="279"/>
      <c r="H172" s="279"/>
      <c r="I172" s="280">
        <f>I171-L171</f>
        <v>7486084.172790736</v>
      </c>
      <c r="J172" s="281"/>
      <c r="K172" s="282"/>
      <c r="L172" s="278">
        <f>F172</f>
        <v>0</v>
      </c>
      <c r="M172" s="279"/>
      <c r="N172" s="283"/>
      <c r="O172" s="6"/>
    </row>
    <row r="173" spans="2:15">
      <c r="B173" s="5"/>
      <c r="C173" s="78" t="s">
        <v>188</v>
      </c>
      <c r="D173" s="65"/>
      <c r="E173" s="65"/>
      <c r="F173" s="278">
        <f>SUM(F174:H174)</f>
        <v>0</v>
      </c>
      <c r="G173" s="279"/>
      <c r="H173" s="279"/>
      <c r="I173" s="278">
        <f>I172-L172</f>
        <v>7486084.172790736</v>
      </c>
      <c r="J173" s="279"/>
      <c r="K173" s="284"/>
      <c r="L173" s="278">
        <f>SUM(L174)</f>
        <v>0</v>
      </c>
      <c r="M173" s="279"/>
      <c r="N173" s="283"/>
      <c r="O173" s="6"/>
    </row>
    <row r="174" spans="2:15">
      <c r="B174" s="5"/>
      <c r="C174" s="71" t="s">
        <v>182</v>
      </c>
      <c r="D174" s="72"/>
      <c r="E174" s="72"/>
      <c r="F174" s="215">
        <v>0</v>
      </c>
      <c r="G174" s="216"/>
      <c r="H174" s="113"/>
      <c r="I174" s="227">
        <f>I173</f>
        <v>7486084.172790736</v>
      </c>
      <c r="J174" s="228"/>
      <c r="K174" s="113"/>
      <c r="L174" s="215">
        <f>F174</f>
        <v>0</v>
      </c>
      <c r="M174" s="216"/>
      <c r="N174" s="115"/>
      <c r="O174" s="6"/>
    </row>
    <row r="175" spans="2:15">
      <c r="B175" s="5"/>
      <c r="C175" s="99" t="s">
        <v>189</v>
      </c>
      <c r="D175" s="27"/>
      <c r="E175" s="27"/>
      <c r="F175" s="278">
        <v>0</v>
      </c>
      <c r="G175" s="279"/>
      <c r="H175" s="279"/>
      <c r="I175" s="280">
        <f>I173-L173</f>
        <v>7486084.172790736</v>
      </c>
      <c r="J175" s="281"/>
      <c r="K175" s="282"/>
      <c r="L175" s="278">
        <f>F175</f>
        <v>0</v>
      </c>
      <c r="M175" s="279"/>
      <c r="N175" s="283"/>
      <c r="O175" s="6"/>
    </row>
    <row r="176" spans="2:15">
      <c r="B176" s="5"/>
      <c r="C176" s="99" t="s">
        <v>190</v>
      </c>
      <c r="D176" s="27"/>
      <c r="E176" s="27"/>
      <c r="F176" s="278">
        <v>0</v>
      </c>
      <c r="G176" s="279"/>
      <c r="H176" s="279"/>
      <c r="I176" s="280">
        <f>I175-L175</f>
        <v>7486084.172790736</v>
      </c>
      <c r="J176" s="281"/>
      <c r="K176" s="282"/>
      <c r="L176" s="278">
        <f>F176</f>
        <v>0</v>
      </c>
      <c r="M176" s="279"/>
      <c r="N176" s="283"/>
      <c r="O176" s="6"/>
    </row>
    <row r="177" spans="2:15">
      <c r="B177" s="5"/>
      <c r="C177" s="99" t="s">
        <v>191</v>
      </c>
      <c r="D177" s="27"/>
      <c r="E177" s="27"/>
      <c r="F177" s="278">
        <v>58427.257247850299</v>
      </c>
      <c r="G177" s="279"/>
      <c r="H177" s="279"/>
      <c r="I177" s="280">
        <f>I176-L176</f>
        <v>7486084.172790736</v>
      </c>
      <c r="J177" s="281"/>
      <c r="K177" s="282"/>
      <c r="L177" s="278">
        <f>F177</f>
        <v>58427.257247850299</v>
      </c>
      <c r="M177" s="279"/>
      <c r="N177" s="283"/>
      <c r="O177" s="6"/>
    </row>
    <row r="178" spans="2:15">
      <c r="B178" s="5"/>
      <c r="C178" s="78" t="s">
        <v>192</v>
      </c>
      <c r="D178" s="65"/>
      <c r="E178" s="65"/>
      <c r="F178" s="278">
        <f>SUM(F179:G181)</f>
        <v>4606469.8440038357</v>
      </c>
      <c r="G178" s="279"/>
      <c r="H178" s="279"/>
      <c r="I178" s="278">
        <f>I177-L177</f>
        <v>7427656.9155428857</v>
      </c>
      <c r="J178" s="279"/>
      <c r="K178" s="284"/>
      <c r="L178" s="278">
        <f>SUM(L179:M181)</f>
        <v>4606469.8440038357</v>
      </c>
      <c r="M178" s="279"/>
      <c r="N178" s="283"/>
      <c r="O178" s="6"/>
    </row>
    <row r="179" spans="2:15">
      <c r="B179" s="5"/>
      <c r="C179" s="50" t="s">
        <v>193</v>
      </c>
      <c r="D179" s="31"/>
      <c r="E179" s="31"/>
      <c r="F179" s="215">
        <f>I212</f>
        <v>4606469.8440038357</v>
      </c>
      <c r="G179" s="216"/>
      <c r="H179" s="113"/>
      <c r="I179" s="215">
        <f>F179/$F$178*I178</f>
        <v>7427656.9155428857</v>
      </c>
      <c r="J179" s="216"/>
      <c r="K179" s="113"/>
      <c r="L179" s="215">
        <f>F179</f>
        <v>4606469.8440038357</v>
      </c>
      <c r="M179" s="216"/>
      <c r="N179" s="115"/>
      <c r="O179" s="6"/>
    </row>
    <row r="180" spans="2:15">
      <c r="B180" s="5"/>
      <c r="C180" s="50" t="s">
        <v>194</v>
      </c>
      <c r="D180" s="31"/>
      <c r="E180" s="31"/>
      <c r="F180" s="215">
        <v>0</v>
      </c>
      <c r="G180" s="216"/>
      <c r="H180" s="113"/>
      <c r="I180" s="215">
        <f>F180/$F$178*I179</f>
        <v>0</v>
      </c>
      <c r="J180" s="216"/>
      <c r="K180" s="113"/>
      <c r="L180" s="215">
        <f>F180</f>
        <v>0</v>
      </c>
      <c r="M180" s="216"/>
      <c r="N180" s="115"/>
      <c r="O180" s="6"/>
    </row>
    <row r="181" spans="2:15">
      <c r="B181" s="5"/>
      <c r="C181" s="71" t="s">
        <v>195</v>
      </c>
      <c r="D181" s="72"/>
      <c r="E181" s="72"/>
      <c r="F181" s="215">
        <v>0</v>
      </c>
      <c r="G181" s="216"/>
      <c r="H181" s="113"/>
      <c r="I181" s="227">
        <f>F181/$F$178*I178</f>
        <v>0</v>
      </c>
      <c r="J181" s="228"/>
      <c r="K181" s="113"/>
      <c r="L181" s="215">
        <f>F181</f>
        <v>0</v>
      </c>
      <c r="M181" s="216"/>
      <c r="N181" s="115"/>
      <c r="O181" s="6"/>
    </row>
    <row r="182" spans="2:15">
      <c r="B182" s="5"/>
      <c r="C182" s="99" t="s">
        <v>196</v>
      </c>
      <c r="D182" s="27"/>
      <c r="E182" s="27"/>
      <c r="F182" s="278">
        <v>0</v>
      </c>
      <c r="G182" s="279"/>
      <c r="H182" s="279"/>
      <c r="I182" s="280">
        <f>I178-L178</f>
        <v>2821187.07153905</v>
      </c>
      <c r="J182" s="281"/>
      <c r="K182" s="282"/>
      <c r="L182" s="278">
        <f>F182</f>
        <v>0</v>
      </c>
      <c r="M182" s="279"/>
      <c r="N182" s="283"/>
      <c r="O182" s="6"/>
    </row>
    <row r="183" spans="2:15">
      <c r="B183" s="5"/>
      <c r="C183" s="99" t="s">
        <v>197</v>
      </c>
      <c r="D183" s="27"/>
      <c r="E183" s="27"/>
      <c r="F183" s="278">
        <v>2821187</v>
      </c>
      <c r="G183" s="279"/>
      <c r="H183" s="279"/>
      <c r="I183" s="280">
        <f>I178-L178</f>
        <v>2821187.07153905</v>
      </c>
      <c r="J183" s="281"/>
      <c r="K183" s="282"/>
      <c r="L183" s="278">
        <f>F183</f>
        <v>2821187</v>
      </c>
      <c r="M183" s="279"/>
      <c r="N183" s="283"/>
      <c r="O183" s="6"/>
    </row>
    <row r="184" spans="2:15" ht="15" thickBot="1">
      <c r="B184" s="5"/>
      <c r="C184" s="123" t="s">
        <v>198</v>
      </c>
      <c r="D184" s="124"/>
      <c r="E184" s="125"/>
      <c r="F184" s="295">
        <f>SUM(F136,F137,F140,F143,F147,F148,F149,F153:H159,F166:H168,F171:H173,F175:H178,F182:H183)</f>
        <v>61242490.346379854</v>
      </c>
      <c r="G184" s="296"/>
      <c r="H184" s="297"/>
      <c r="I184" s="295">
        <f>I136</f>
        <v>61242490.417918906</v>
      </c>
      <c r="J184" s="296"/>
      <c r="K184" s="297"/>
      <c r="L184" s="295">
        <f>I184</f>
        <v>61242490.417918906</v>
      </c>
      <c r="M184" s="296"/>
      <c r="N184" s="298"/>
      <c r="O184" s="6"/>
    </row>
    <row r="185" spans="2:15" ht="15" thickBot="1">
      <c r="B185" s="5"/>
      <c r="C185" s="88"/>
      <c r="D185" s="7"/>
      <c r="E185" s="7"/>
      <c r="F185" s="7"/>
      <c r="G185" s="7"/>
      <c r="H185" s="7"/>
      <c r="I185" s="7"/>
      <c r="J185" s="7"/>
      <c r="K185" s="7"/>
      <c r="L185" s="7"/>
      <c r="M185" s="7"/>
      <c r="N185" s="7"/>
      <c r="O185" s="6"/>
    </row>
    <row r="186" spans="2:15">
      <c r="B186" s="5"/>
      <c r="C186" s="224" t="s">
        <v>199</v>
      </c>
      <c r="D186" s="225"/>
      <c r="E186" s="225"/>
      <c r="F186" s="225"/>
      <c r="G186" s="225"/>
      <c r="H186" s="225"/>
      <c r="I186" s="225"/>
      <c r="J186" s="225"/>
      <c r="K186" s="225"/>
      <c r="L186" s="225"/>
      <c r="M186" s="225"/>
      <c r="N186" s="226"/>
      <c r="O186" s="6"/>
    </row>
    <row r="187" spans="2:15">
      <c r="B187" s="5"/>
      <c r="C187" s="99" t="s">
        <v>200</v>
      </c>
      <c r="D187" s="126"/>
      <c r="E187" s="126"/>
      <c r="F187" s="126"/>
      <c r="G187" s="126"/>
      <c r="H187" s="127"/>
      <c r="I187" s="280">
        <f>SUM(202000000,309000000)*3.05%</f>
        <v>15585500</v>
      </c>
      <c r="J187" s="281"/>
      <c r="K187" s="281"/>
      <c r="L187" s="281"/>
      <c r="M187" s="281"/>
      <c r="N187" s="287"/>
      <c r="O187" s="6"/>
    </row>
    <row r="188" spans="2:15">
      <c r="B188" s="5"/>
      <c r="C188" s="99" t="s">
        <v>201</v>
      </c>
      <c r="D188" s="19"/>
      <c r="E188" s="19"/>
      <c r="F188" s="19"/>
      <c r="G188" s="19"/>
      <c r="H188" s="21"/>
      <c r="I188" s="280">
        <f>I187</f>
        <v>15585500</v>
      </c>
      <c r="J188" s="281"/>
      <c r="K188" s="281"/>
      <c r="L188" s="281"/>
      <c r="M188" s="281"/>
      <c r="N188" s="287"/>
      <c r="O188" s="6"/>
    </row>
    <row r="189" spans="2:15">
      <c r="B189" s="5"/>
      <c r="C189" s="20" t="s">
        <v>202</v>
      </c>
      <c r="D189" s="19"/>
      <c r="E189" s="19"/>
      <c r="F189" s="19"/>
      <c r="G189" s="19"/>
      <c r="H189" s="21"/>
      <c r="I189" s="280">
        <f>I192</f>
        <v>24669669.745499998</v>
      </c>
      <c r="J189" s="281"/>
      <c r="K189" s="281"/>
      <c r="L189" s="281"/>
      <c r="M189" s="281"/>
      <c r="N189" s="287"/>
      <c r="O189" s="6"/>
    </row>
    <row r="190" spans="2:15">
      <c r="B190" s="5"/>
      <c r="C190" s="20" t="s">
        <v>203</v>
      </c>
      <c r="D190" s="19"/>
      <c r="E190" s="19"/>
      <c r="F190" s="19"/>
      <c r="G190" s="19"/>
      <c r="H190" s="21"/>
      <c r="I190" s="280">
        <v>0</v>
      </c>
      <c r="J190" s="281"/>
      <c r="K190" s="281"/>
      <c r="L190" s="281"/>
      <c r="M190" s="281"/>
      <c r="N190" s="287"/>
      <c r="O190" s="6"/>
    </row>
    <row r="191" spans="2:15">
      <c r="B191" s="5"/>
      <c r="C191" s="20" t="s">
        <v>204</v>
      </c>
      <c r="D191" s="19"/>
      <c r="E191" s="19"/>
      <c r="F191" s="19"/>
      <c r="G191" s="19"/>
      <c r="H191" s="21"/>
      <c r="I191" s="280">
        <v>9084169.7454999983</v>
      </c>
      <c r="J191" s="281"/>
      <c r="K191" s="281"/>
      <c r="L191" s="281"/>
      <c r="M191" s="281"/>
      <c r="N191" s="287"/>
      <c r="O191" s="6"/>
    </row>
    <row r="192" spans="2:15" ht="15" thickBot="1">
      <c r="B192" s="5"/>
      <c r="C192" s="25" t="s">
        <v>205</v>
      </c>
      <c r="D192" s="26"/>
      <c r="E192" s="26"/>
      <c r="F192" s="26"/>
      <c r="G192" s="26"/>
      <c r="H192" s="101"/>
      <c r="I192" s="234">
        <f>I187-I190+I191</f>
        <v>24669669.745499998</v>
      </c>
      <c r="J192" s="235"/>
      <c r="K192" s="235"/>
      <c r="L192" s="235"/>
      <c r="M192" s="235"/>
      <c r="N192" s="288"/>
      <c r="O192" s="6"/>
    </row>
    <row r="193" spans="2:15" ht="15" thickBot="1">
      <c r="B193" s="5"/>
      <c r="C193" s="7"/>
      <c r="D193" s="7"/>
      <c r="E193" s="7"/>
      <c r="F193" s="7"/>
      <c r="G193" s="7"/>
      <c r="H193" s="7"/>
      <c r="I193" s="7"/>
      <c r="J193" s="7"/>
      <c r="K193" s="7"/>
      <c r="L193" s="7"/>
      <c r="M193" s="7"/>
      <c r="N193" s="7"/>
      <c r="O193" s="6"/>
    </row>
    <row r="194" spans="2:15">
      <c r="B194" s="5"/>
      <c r="C194" s="289" t="s">
        <v>206</v>
      </c>
      <c r="D194" s="290"/>
      <c r="E194" s="290"/>
      <c r="F194" s="290"/>
      <c r="G194" s="290"/>
      <c r="H194" s="290"/>
      <c r="I194" s="290"/>
      <c r="J194" s="290"/>
      <c r="K194" s="290"/>
      <c r="L194" s="290"/>
      <c r="M194" s="290"/>
      <c r="N194" s="291"/>
      <c r="O194" s="6"/>
    </row>
    <row r="195" spans="2:15">
      <c r="B195" s="5"/>
      <c r="C195" s="99" t="s">
        <v>207</v>
      </c>
      <c r="D195" s="126"/>
      <c r="E195" s="126"/>
      <c r="F195" s="126"/>
      <c r="G195" s="126"/>
      <c r="H195" s="127"/>
      <c r="I195" s="292">
        <v>0</v>
      </c>
      <c r="J195" s="293"/>
      <c r="K195" s="293"/>
      <c r="L195" s="293"/>
      <c r="M195" s="293"/>
      <c r="N195" s="294"/>
      <c r="O195" s="6"/>
    </row>
    <row r="196" spans="2:15">
      <c r="B196" s="5"/>
      <c r="C196" s="99" t="s">
        <v>208</v>
      </c>
      <c r="D196" s="126"/>
      <c r="E196" s="126"/>
      <c r="F196" s="126"/>
      <c r="G196" s="126"/>
      <c r="H196" s="127"/>
      <c r="I196" s="307">
        <v>0</v>
      </c>
      <c r="J196" s="308"/>
      <c r="K196" s="308"/>
      <c r="L196" s="308"/>
      <c r="M196" s="308"/>
      <c r="N196" s="309"/>
      <c r="O196" s="6"/>
    </row>
    <row r="197" spans="2:15">
      <c r="B197" s="5"/>
      <c r="C197" s="99" t="s">
        <v>209</v>
      </c>
      <c r="D197" s="126"/>
      <c r="E197" s="126"/>
      <c r="F197" s="126"/>
      <c r="G197" s="126"/>
      <c r="H197" s="127"/>
      <c r="I197" s="280">
        <v>0</v>
      </c>
      <c r="J197" s="281"/>
      <c r="K197" s="281"/>
      <c r="L197" s="281"/>
      <c r="M197" s="281"/>
      <c r="N197" s="287"/>
      <c r="O197" s="6"/>
    </row>
    <row r="198" spans="2:15">
      <c r="B198" s="5"/>
      <c r="C198" s="99" t="s">
        <v>210</v>
      </c>
      <c r="D198" s="126"/>
      <c r="E198" s="126"/>
      <c r="F198" s="126"/>
      <c r="G198" s="126"/>
      <c r="H198" s="127"/>
      <c r="I198" s="280">
        <f>I195+I196-I197</f>
        <v>0</v>
      </c>
      <c r="J198" s="281"/>
      <c r="K198" s="281"/>
      <c r="L198" s="281"/>
      <c r="M198" s="281"/>
      <c r="N198" s="287"/>
      <c r="O198" s="6"/>
    </row>
    <row r="199" spans="2:15">
      <c r="B199" s="5"/>
      <c r="C199" s="99" t="s">
        <v>211</v>
      </c>
      <c r="D199" s="126"/>
      <c r="E199" s="126"/>
      <c r="F199" s="126"/>
      <c r="G199" s="126"/>
      <c r="H199" s="127"/>
      <c r="I199" s="280">
        <v>0</v>
      </c>
      <c r="J199" s="281"/>
      <c r="K199" s="281"/>
      <c r="L199" s="281"/>
      <c r="M199" s="281"/>
      <c r="N199" s="287"/>
      <c r="O199" s="6"/>
    </row>
    <row r="200" spans="2:15">
      <c r="B200" s="5"/>
      <c r="C200" s="99" t="s">
        <v>212</v>
      </c>
      <c r="D200" s="126"/>
      <c r="E200" s="126"/>
      <c r="F200" s="126"/>
      <c r="G200" s="126"/>
      <c r="H200" s="127"/>
      <c r="I200" s="292">
        <v>0</v>
      </c>
      <c r="J200" s="293"/>
      <c r="K200" s="293"/>
      <c r="L200" s="293"/>
      <c r="M200" s="293"/>
      <c r="N200" s="294"/>
      <c r="O200" s="6"/>
    </row>
    <row r="201" spans="2:15" ht="15" thickBot="1">
      <c r="B201" s="5"/>
      <c r="C201" s="128" t="s">
        <v>213</v>
      </c>
      <c r="D201" s="129"/>
      <c r="E201" s="129"/>
      <c r="F201" s="129"/>
      <c r="G201" s="129"/>
      <c r="H201" s="130"/>
      <c r="I201" s="310">
        <f>I198-I199+I200</f>
        <v>0</v>
      </c>
      <c r="J201" s="311"/>
      <c r="K201" s="311"/>
      <c r="L201" s="311"/>
      <c r="M201" s="311"/>
      <c r="N201" s="312"/>
      <c r="O201" s="6"/>
    </row>
    <row r="202" spans="2:15" ht="15" thickBot="1">
      <c r="B202" s="5"/>
      <c r="C202" s="131"/>
      <c r="D202" s="132"/>
      <c r="E202" s="132"/>
      <c r="F202" s="132"/>
      <c r="G202" s="132"/>
      <c r="H202" s="132"/>
      <c r="I202" s="133"/>
      <c r="J202" s="133"/>
      <c r="K202" s="133"/>
      <c r="L202" s="133"/>
      <c r="M202" s="133"/>
      <c r="N202" s="133"/>
      <c r="O202" s="6"/>
    </row>
    <row r="203" spans="2:15">
      <c r="B203" s="5"/>
      <c r="C203" s="289" t="s">
        <v>214</v>
      </c>
      <c r="D203" s="290"/>
      <c r="E203" s="290"/>
      <c r="F203" s="290"/>
      <c r="G203" s="290"/>
      <c r="H203" s="290"/>
      <c r="I203" s="290"/>
      <c r="J203" s="290"/>
      <c r="K203" s="290"/>
      <c r="L203" s="290"/>
      <c r="M203" s="290"/>
      <c r="N203" s="291"/>
      <c r="O203" s="6"/>
    </row>
    <row r="204" spans="2:15">
      <c r="B204" s="5"/>
      <c r="C204" s="24" t="s">
        <v>215</v>
      </c>
      <c r="D204" s="19"/>
      <c r="E204" s="126"/>
      <c r="F204" s="126"/>
      <c r="G204" s="126"/>
      <c r="H204" s="127"/>
      <c r="I204" s="299">
        <f>10%</f>
        <v>0.1</v>
      </c>
      <c r="J204" s="300"/>
      <c r="K204" s="300"/>
      <c r="L204" s="300"/>
      <c r="M204" s="300"/>
      <c r="N204" s="301"/>
      <c r="O204" s="6"/>
    </row>
    <row r="205" spans="2:15">
      <c r="B205" s="5"/>
      <c r="C205" s="20"/>
      <c r="D205" s="27"/>
      <c r="E205" s="272" t="s">
        <v>216</v>
      </c>
      <c r="F205" s="273"/>
      <c r="G205" s="302" t="s">
        <v>217</v>
      </c>
      <c r="H205" s="303"/>
      <c r="I205" s="302" t="s">
        <v>218</v>
      </c>
      <c r="J205" s="304"/>
      <c r="K205" s="303"/>
      <c r="L205" s="303" t="s">
        <v>219</v>
      </c>
      <c r="M205" s="305"/>
      <c r="N205" s="306"/>
      <c r="O205" s="6"/>
    </row>
    <row r="206" spans="2:15">
      <c r="B206" s="5"/>
      <c r="C206" s="11" t="s">
        <v>220</v>
      </c>
      <c r="D206" s="31"/>
      <c r="E206" s="325">
        <v>44607</v>
      </c>
      <c r="F206" s="326"/>
      <c r="G206" s="327">
        <f>G29</f>
        <v>4.1669999999999999E-2</v>
      </c>
      <c r="H206" s="328"/>
      <c r="I206" s="329">
        <v>63459650.914990246</v>
      </c>
      <c r="J206" s="330"/>
      <c r="K206" s="331"/>
      <c r="L206" s="329">
        <f>I206</f>
        <v>63459650.914990246</v>
      </c>
      <c r="M206" s="330"/>
      <c r="N206" s="332"/>
      <c r="O206" s="6"/>
    </row>
    <row r="207" spans="2:15">
      <c r="B207" s="5"/>
      <c r="C207" s="64" t="s">
        <v>221</v>
      </c>
      <c r="D207" s="134"/>
      <c r="E207" s="333"/>
      <c r="F207" s="334"/>
      <c r="G207" s="335"/>
      <c r="H207" s="336"/>
      <c r="I207" s="337">
        <f>SUM(I208:K210)</f>
        <v>67700000</v>
      </c>
      <c r="J207" s="338"/>
      <c r="K207" s="339"/>
      <c r="L207" s="340">
        <f>I207</f>
        <v>67700000</v>
      </c>
      <c r="M207" s="341"/>
      <c r="N207" s="342"/>
      <c r="O207" s="6"/>
    </row>
    <row r="208" spans="2:15">
      <c r="B208" s="5"/>
      <c r="C208" s="50" t="s">
        <v>222</v>
      </c>
      <c r="D208" s="31"/>
      <c r="E208" s="313">
        <v>44606</v>
      </c>
      <c r="F208" s="314"/>
      <c r="G208" s="315">
        <f>H29</f>
        <v>4.1579999999999999E-2</v>
      </c>
      <c r="H208" s="316"/>
      <c r="I208" s="317">
        <v>67700000</v>
      </c>
      <c r="J208" s="318"/>
      <c r="K208" s="319"/>
      <c r="L208" s="320">
        <f>I208</f>
        <v>67700000</v>
      </c>
      <c r="M208" s="321"/>
      <c r="N208" s="322"/>
      <c r="O208" s="6"/>
    </row>
    <row r="209" spans="2:17">
      <c r="B209" s="5"/>
      <c r="C209" s="50" t="s">
        <v>223</v>
      </c>
      <c r="D209" s="31"/>
      <c r="E209" s="323"/>
      <c r="F209" s="324"/>
      <c r="G209" s="315"/>
      <c r="H209" s="316"/>
      <c r="I209" s="317"/>
      <c r="J209" s="318"/>
      <c r="K209" s="319"/>
      <c r="L209" s="320"/>
      <c r="M209" s="321"/>
      <c r="N209" s="322"/>
      <c r="O209" s="6"/>
    </row>
    <row r="210" spans="2:17">
      <c r="B210" s="5"/>
      <c r="C210" s="50" t="s">
        <v>224</v>
      </c>
      <c r="D210" s="72"/>
      <c r="E210" s="346"/>
      <c r="F210" s="347"/>
      <c r="G210" s="348"/>
      <c r="H210" s="349"/>
      <c r="I210" s="350"/>
      <c r="J210" s="351"/>
      <c r="K210" s="352"/>
      <c r="L210" s="320"/>
      <c r="M210" s="321"/>
      <c r="N210" s="322"/>
      <c r="O210" s="6"/>
    </row>
    <row r="211" spans="2:17">
      <c r="B211" s="5"/>
      <c r="C211" s="64" t="s">
        <v>225</v>
      </c>
      <c r="D211" s="134"/>
      <c r="E211" s="304"/>
      <c r="F211" s="304"/>
      <c r="G211" s="135"/>
      <c r="H211" s="136"/>
      <c r="I211" s="329">
        <f>L206+L207</f>
        <v>131159650.91499025</v>
      </c>
      <c r="J211" s="330"/>
      <c r="K211" s="330"/>
      <c r="L211" s="330"/>
      <c r="M211" s="330"/>
      <c r="N211" s="332"/>
      <c r="O211" s="6"/>
    </row>
    <row r="212" spans="2:17">
      <c r="B212" s="5"/>
      <c r="C212" s="78" t="s">
        <v>226</v>
      </c>
      <c r="D212" s="90"/>
      <c r="E212" s="90"/>
      <c r="F212" s="90"/>
      <c r="G212" s="90"/>
      <c r="H212" s="91"/>
      <c r="I212" s="329">
        <f>I206*(G206+$I$204)*$J$16/365+I208*(G208+$I$204)*91/365</f>
        <v>4606469.8440038357</v>
      </c>
      <c r="J212" s="330"/>
      <c r="K212" s="330"/>
      <c r="L212" s="330"/>
      <c r="M212" s="330"/>
      <c r="N212" s="332"/>
      <c r="O212" s="6"/>
      <c r="P212" s="137"/>
      <c r="Q212" s="67"/>
    </row>
    <row r="213" spans="2:17">
      <c r="B213" s="5"/>
      <c r="C213" s="78" t="s">
        <v>227</v>
      </c>
      <c r="D213" s="90"/>
      <c r="E213" s="90"/>
      <c r="F213" s="90"/>
      <c r="G213" s="90"/>
      <c r="H213" s="91"/>
      <c r="I213" s="329">
        <v>0</v>
      </c>
      <c r="J213" s="330"/>
      <c r="K213" s="330"/>
      <c r="L213" s="330"/>
      <c r="M213" s="330"/>
      <c r="N213" s="332"/>
      <c r="O213" s="6"/>
    </row>
    <row r="214" spans="2:17">
      <c r="B214" s="5"/>
      <c r="C214" s="99" t="s">
        <v>228</v>
      </c>
      <c r="D214" s="126"/>
      <c r="E214" s="126"/>
      <c r="F214" s="126"/>
      <c r="G214" s="126"/>
      <c r="H214" s="127"/>
      <c r="I214" s="329">
        <f>L179</f>
        <v>4606469.8440038357</v>
      </c>
      <c r="J214" s="330"/>
      <c r="K214" s="330"/>
      <c r="L214" s="330"/>
      <c r="M214" s="330"/>
      <c r="N214" s="332"/>
      <c r="O214" s="6"/>
    </row>
    <row r="215" spans="2:17">
      <c r="B215" s="5"/>
      <c r="C215" s="99" t="s">
        <v>229</v>
      </c>
      <c r="D215" s="126"/>
      <c r="E215" s="126"/>
      <c r="F215" s="126"/>
      <c r="G215" s="126"/>
      <c r="H215" s="127"/>
      <c r="I215" s="329">
        <f>I212-I214</f>
        <v>0</v>
      </c>
      <c r="J215" s="330"/>
      <c r="K215" s="330"/>
      <c r="L215" s="330"/>
      <c r="M215" s="330"/>
      <c r="N215" s="332"/>
      <c r="O215" s="6"/>
    </row>
    <row r="216" spans="2:17">
      <c r="B216" s="5"/>
      <c r="C216" s="99" t="s">
        <v>230</v>
      </c>
      <c r="D216" s="126"/>
      <c r="E216" s="126"/>
      <c r="F216" s="126"/>
      <c r="G216" s="126"/>
      <c r="H216" s="127"/>
      <c r="I216" s="329">
        <f>F180</f>
        <v>0</v>
      </c>
      <c r="J216" s="330"/>
      <c r="K216" s="330"/>
      <c r="L216" s="330"/>
      <c r="M216" s="330"/>
      <c r="N216" s="332"/>
      <c r="O216" s="6"/>
    </row>
    <row r="217" spans="2:17">
      <c r="B217" s="5"/>
      <c r="C217" s="99" t="s">
        <v>231</v>
      </c>
      <c r="D217" s="126"/>
      <c r="E217" s="126"/>
      <c r="F217" s="126"/>
      <c r="G217" s="126"/>
      <c r="H217" s="127"/>
      <c r="I217" s="329">
        <v>0</v>
      </c>
      <c r="J217" s="330"/>
      <c r="K217" s="330"/>
      <c r="L217" s="330"/>
      <c r="M217" s="330"/>
      <c r="N217" s="332"/>
      <c r="O217" s="6"/>
    </row>
    <row r="218" spans="2:17" ht="15" thickBot="1">
      <c r="B218" s="5"/>
      <c r="C218" s="100" t="s">
        <v>232</v>
      </c>
      <c r="D218" s="138"/>
      <c r="E218" s="138"/>
      <c r="F218" s="138"/>
      <c r="G218" s="138"/>
      <c r="H218" s="139"/>
      <c r="I218" s="343">
        <f>I211+I215-I216</f>
        <v>131159650.91499025</v>
      </c>
      <c r="J218" s="344"/>
      <c r="K218" s="344"/>
      <c r="L218" s="344"/>
      <c r="M218" s="344"/>
      <c r="N218" s="345"/>
      <c r="O218" s="6"/>
    </row>
    <row r="219" spans="2:17" ht="15" thickBot="1">
      <c r="B219" s="140"/>
      <c r="C219" s="141"/>
      <c r="D219" s="141"/>
      <c r="E219" s="141"/>
      <c r="F219" s="141"/>
      <c r="G219" s="141"/>
      <c r="H219" s="141"/>
      <c r="I219" s="141"/>
      <c r="J219" s="141"/>
      <c r="K219" s="141"/>
      <c r="L219" s="141"/>
      <c r="M219" s="141"/>
      <c r="N219" s="141"/>
      <c r="O219" s="87"/>
    </row>
    <row r="226" spans="12:13">
      <c r="L226" s="142"/>
    </row>
    <row r="227" spans="12:13">
      <c r="M227" s="62"/>
    </row>
    <row r="228" spans="12:13">
      <c r="M228" s="143"/>
    </row>
    <row r="229" spans="12:13">
      <c r="M229" s="89"/>
    </row>
    <row r="230" spans="12:13">
      <c r="L230" s="142"/>
    </row>
    <row r="231" spans="12:13">
      <c r="M231" s="89"/>
    </row>
    <row r="232" spans="12:13">
      <c r="M232" s="62"/>
    </row>
    <row r="233" spans="12:13">
      <c r="M233" s="62"/>
    </row>
    <row r="234" spans="12:13">
      <c r="M234" s="144"/>
    </row>
    <row r="236" spans="12:13">
      <c r="M236" s="67"/>
    </row>
  </sheetData>
  <mergeCells count="307">
    <mergeCell ref="I218:N218"/>
    <mergeCell ref="I212:N212"/>
    <mergeCell ref="I213:N213"/>
    <mergeCell ref="I214:N214"/>
    <mergeCell ref="I215:N215"/>
    <mergeCell ref="I216:N216"/>
    <mergeCell ref="I217:N217"/>
    <mergeCell ref="E210:F210"/>
    <mergeCell ref="G210:H210"/>
    <mergeCell ref="I210:K210"/>
    <mergeCell ref="L210:N210"/>
    <mergeCell ref="E211:F211"/>
    <mergeCell ref="I211:N211"/>
    <mergeCell ref="E208:F208"/>
    <mergeCell ref="G208:H208"/>
    <mergeCell ref="I208:K208"/>
    <mergeCell ref="L208:N208"/>
    <mergeCell ref="E209:F209"/>
    <mergeCell ref="G209:H209"/>
    <mergeCell ref="I209:K209"/>
    <mergeCell ref="L209:N209"/>
    <mergeCell ref="E206:F206"/>
    <mergeCell ref="G206:H206"/>
    <mergeCell ref="I206:K206"/>
    <mergeCell ref="L206:N206"/>
    <mergeCell ref="E207:F207"/>
    <mergeCell ref="G207:H207"/>
    <mergeCell ref="I207:K207"/>
    <mergeCell ref="L207:N207"/>
    <mergeCell ref="C203:N203"/>
    <mergeCell ref="I204:N204"/>
    <mergeCell ref="E205:F205"/>
    <mergeCell ref="G205:H205"/>
    <mergeCell ref="I205:K205"/>
    <mergeCell ref="L205:N205"/>
    <mergeCell ref="I196:N196"/>
    <mergeCell ref="I197:N197"/>
    <mergeCell ref="I198:N198"/>
    <mergeCell ref="I199:N199"/>
    <mergeCell ref="I200:N200"/>
    <mergeCell ref="I201:N201"/>
    <mergeCell ref="I189:N189"/>
    <mergeCell ref="I190:N190"/>
    <mergeCell ref="I191:N191"/>
    <mergeCell ref="I192:N192"/>
    <mergeCell ref="C194:N194"/>
    <mergeCell ref="I195:N195"/>
    <mergeCell ref="F184:H184"/>
    <mergeCell ref="I184:K184"/>
    <mergeCell ref="L184:N184"/>
    <mergeCell ref="C186:N186"/>
    <mergeCell ref="I187:N187"/>
    <mergeCell ref="I188:N188"/>
    <mergeCell ref="F182:H182"/>
    <mergeCell ref="I182:K182"/>
    <mergeCell ref="L182:N182"/>
    <mergeCell ref="F183:H183"/>
    <mergeCell ref="I183:K183"/>
    <mergeCell ref="L183:N183"/>
    <mergeCell ref="F180:G180"/>
    <mergeCell ref="I180:J180"/>
    <mergeCell ref="L180:M180"/>
    <mergeCell ref="F181:G181"/>
    <mergeCell ref="I181:J181"/>
    <mergeCell ref="L181:M181"/>
    <mergeCell ref="F178:H178"/>
    <mergeCell ref="I178:K178"/>
    <mergeCell ref="L178:N178"/>
    <mergeCell ref="F179:G179"/>
    <mergeCell ref="I179:J179"/>
    <mergeCell ref="L179:M179"/>
    <mergeCell ref="F176:H176"/>
    <mergeCell ref="I176:K176"/>
    <mergeCell ref="L176:N176"/>
    <mergeCell ref="F177:H177"/>
    <mergeCell ref="I177:K177"/>
    <mergeCell ref="L177:N177"/>
    <mergeCell ref="F174:G174"/>
    <mergeCell ref="I174:J174"/>
    <mergeCell ref="L174:M174"/>
    <mergeCell ref="F175:H175"/>
    <mergeCell ref="I175:K175"/>
    <mergeCell ref="L175:N175"/>
    <mergeCell ref="F172:H172"/>
    <mergeCell ref="I172:K172"/>
    <mergeCell ref="L172:N172"/>
    <mergeCell ref="F173:H173"/>
    <mergeCell ref="I173:K173"/>
    <mergeCell ref="L173:N173"/>
    <mergeCell ref="F170:G170"/>
    <mergeCell ref="I170:J170"/>
    <mergeCell ref="L170:M170"/>
    <mergeCell ref="F171:H171"/>
    <mergeCell ref="I171:K171"/>
    <mergeCell ref="L171:N171"/>
    <mergeCell ref="F168:H168"/>
    <mergeCell ref="I168:K168"/>
    <mergeCell ref="L168:N168"/>
    <mergeCell ref="F169:G169"/>
    <mergeCell ref="I169:J169"/>
    <mergeCell ref="L169:M169"/>
    <mergeCell ref="F166:H166"/>
    <mergeCell ref="I166:K166"/>
    <mergeCell ref="L166:N166"/>
    <mergeCell ref="F167:H167"/>
    <mergeCell ref="I167:K167"/>
    <mergeCell ref="L167:N167"/>
    <mergeCell ref="F164:G164"/>
    <mergeCell ref="I164:J164"/>
    <mergeCell ref="L164:M164"/>
    <mergeCell ref="F165:G165"/>
    <mergeCell ref="I165:J165"/>
    <mergeCell ref="L165:M165"/>
    <mergeCell ref="F162:G162"/>
    <mergeCell ref="I162:J162"/>
    <mergeCell ref="L162:M162"/>
    <mergeCell ref="F163:G163"/>
    <mergeCell ref="I163:J163"/>
    <mergeCell ref="L163:M163"/>
    <mergeCell ref="F160:G160"/>
    <mergeCell ref="I160:J160"/>
    <mergeCell ref="L160:M160"/>
    <mergeCell ref="F161:G161"/>
    <mergeCell ref="I161:J161"/>
    <mergeCell ref="L161:M161"/>
    <mergeCell ref="F158:H158"/>
    <mergeCell ref="I158:K158"/>
    <mergeCell ref="L158:N158"/>
    <mergeCell ref="F159:H159"/>
    <mergeCell ref="I159:K159"/>
    <mergeCell ref="L159:N159"/>
    <mergeCell ref="F156:H156"/>
    <mergeCell ref="I156:K156"/>
    <mergeCell ref="L156:N156"/>
    <mergeCell ref="F157:H157"/>
    <mergeCell ref="I157:K157"/>
    <mergeCell ref="L157:N157"/>
    <mergeCell ref="F154:H154"/>
    <mergeCell ref="I154:K154"/>
    <mergeCell ref="L154:N154"/>
    <mergeCell ref="F155:H155"/>
    <mergeCell ref="I155:K155"/>
    <mergeCell ref="L155:N155"/>
    <mergeCell ref="F152:G152"/>
    <mergeCell ref="I152:J152"/>
    <mergeCell ref="L152:M152"/>
    <mergeCell ref="F153:H153"/>
    <mergeCell ref="I153:K153"/>
    <mergeCell ref="L153:N153"/>
    <mergeCell ref="F150:G150"/>
    <mergeCell ref="I150:J150"/>
    <mergeCell ref="L150:M150"/>
    <mergeCell ref="F151:G151"/>
    <mergeCell ref="I151:J151"/>
    <mergeCell ref="L151:M151"/>
    <mergeCell ref="F148:H148"/>
    <mergeCell ref="I148:K148"/>
    <mergeCell ref="L148:N148"/>
    <mergeCell ref="F149:H149"/>
    <mergeCell ref="I149:K149"/>
    <mergeCell ref="L149:N149"/>
    <mergeCell ref="F146:G146"/>
    <mergeCell ref="I146:J146"/>
    <mergeCell ref="L146:M146"/>
    <mergeCell ref="F147:H147"/>
    <mergeCell ref="I147:K147"/>
    <mergeCell ref="L147:N147"/>
    <mergeCell ref="F144:G144"/>
    <mergeCell ref="I144:J144"/>
    <mergeCell ref="L144:M144"/>
    <mergeCell ref="F145:G145"/>
    <mergeCell ref="I145:J145"/>
    <mergeCell ref="L145:M145"/>
    <mergeCell ref="F142:G142"/>
    <mergeCell ref="I142:J142"/>
    <mergeCell ref="L142:M142"/>
    <mergeCell ref="F143:H143"/>
    <mergeCell ref="I143:K143"/>
    <mergeCell ref="L143:N143"/>
    <mergeCell ref="F140:H140"/>
    <mergeCell ref="I140:K140"/>
    <mergeCell ref="L140:N140"/>
    <mergeCell ref="F141:G141"/>
    <mergeCell ref="I141:J141"/>
    <mergeCell ref="L141:M141"/>
    <mergeCell ref="F138:G138"/>
    <mergeCell ref="I138:J138"/>
    <mergeCell ref="L138:M138"/>
    <mergeCell ref="F139:G139"/>
    <mergeCell ref="I139:J139"/>
    <mergeCell ref="L139:M139"/>
    <mergeCell ref="F136:H136"/>
    <mergeCell ref="I136:K136"/>
    <mergeCell ref="L136:N136"/>
    <mergeCell ref="F137:H137"/>
    <mergeCell ref="I137:K137"/>
    <mergeCell ref="L137:N137"/>
    <mergeCell ref="J129:L129"/>
    <mergeCell ref="J130:N130"/>
    <mergeCell ref="J131:M131"/>
    <mergeCell ref="J132:N132"/>
    <mergeCell ref="C134:N134"/>
    <mergeCell ref="C135:E135"/>
    <mergeCell ref="F135:H135"/>
    <mergeCell ref="I135:K135"/>
    <mergeCell ref="L135:N135"/>
    <mergeCell ref="J123:L123"/>
    <mergeCell ref="J124:L124"/>
    <mergeCell ref="J125:L125"/>
    <mergeCell ref="J126:L126"/>
    <mergeCell ref="J127:L127"/>
    <mergeCell ref="J128:L128"/>
    <mergeCell ref="C117:N117"/>
    <mergeCell ref="J118:M118"/>
    <mergeCell ref="J119:M119"/>
    <mergeCell ref="J120:M120"/>
    <mergeCell ref="J121:N121"/>
    <mergeCell ref="J122:M122"/>
    <mergeCell ref="G114:H114"/>
    <mergeCell ref="I114:J114"/>
    <mergeCell ref="K114:L114"/>
    <mergeCell ref="M114:N114"/>
    <mergeCell ref="G115:H115"/>
    <mergeCell ref="I115:J115"/>
    <mergeCell ref="K115:L115"/>
    <mergeCell ref="M115:N115"/>
    <mergeCell ref="I108:N108"/>
    <mergeCell ref="I109:N109"/>
    <mergeCell ref="I110:N110"/>
    <mergeCell ref="C112:N112"/>
    <mergeCell ref="G113:H113"/>
    <mergeCell ref="I113:J113"/>
    <mergeCell ref="K113:L113"/>
    <mergeCell ref="M113:N113"/>
    <mergeCell ref="J101:M101"/>
    <mergeCell ref="J102:M102"/>
    <mergeCell ref="J103:M103"/>
    <mergeCell ref="J104:M104"/>
    <mergeCell ref="J105:M105"/>
    <mergeCell ref="C107:N107"/>
    <mergeCell ref="J94:M94"/>
    <mergeCell ref="J95:M95"/>
    <mergeCell ref="J96:M96"/>
    <mergeCell ref="C98:N98"/>
    <mergeCell ref="J99:N99"/>
    <mergeCell ref="J100:M100"/>
    <mergeCell ref="J88:M88"/>
    <mergeCell ref="J89:M89"/>
    <mergeCell ref="J90:M90"/>
    <mergeCell ref="C91:N91"/>
    <mergeCell ref="J92:N92"/>
    <mergeCell ref="J93:M93"/>
    <mergeCell ref="J82:M82"/>
    <mergeCell ref="J83:M83"/>
    <mergeCell ref="J84:M84"/>
    <mergeCell ref="J85:L85"/>
    <mergeCell ref="J86:L86"/>
    <mergeCell ref="J87:M87"/>
    <mergeCell ref="J76:M76"/>
    <mergeCell ref="J77:M77"/>
    <mergeCell ref="J78:M78"/>
    <mergeCell ref="J79:N79"/>
    <mergeCell ref="C80:N80"/>
    <mergeCell ref="J81:N81"/>
    <mergeCell ref="J70:L70"/>
    <mergeCell ref="J71:L71"/>
    <mergeCell ref="J72:M72"/>
    <mergeCell ref="J73:L73"/>
    <mergeCell ref="J74:L74"/>
    <mergeCell ref="J75:M75"/>
    <mergeCell ref="J64:M64"/>
    <mergeCell ref="J65:M65"/>
    <mergeCell ref="J66:N66"/>
    <mergeCell ref="J67:M67"/>
    <mergeCell ref="J68:M68"/>
    <mergeCell ref="J69:M69"/>
    <mergeCell ref="J58:M58"/>
    <mergeCell ref="C59:N59"/>
    <mergeCell ref="J60:N60"/>
    <mergeCell ref="J61:M61"/>
    <mergeCell ref="J62:M62"/>
    <mergeCell ref="J63:N63"/>
    <mergeCell ref="C52:N52"/>
    <mergeCell ref="J53:N53"/>
    <mergeCell ref="J54:N54"/>
    <mergeCell ref="J55:N55"/>
    <mergeCell ref="J56:M56"/>
    <mergeCell ref="J57:M57"/>
    <mergeCell ref="J17:N17"/>
    <mergeCell ref="J18:N18"/>
    <mergeCell ref="J19:N19"/>
    <mergeCell ref="J20:N20"/>
    <mergeCell ref="C22:N22"/>
    <mergeCell ref="C51:N51"/>
    <mergeCell ref="J12:N12"/>
    <mergeCell ref="J13:N13"/>
    <mergeCell ref="C14:E15"/>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ignoredErrors>
    <ignoredError sqref="I158:K178 I137:K148 I149"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E63CF-B42B-42E6-8236-0394E652E859}">
  <dimension ref="B1:X121"/>
  <sheetViews>
    <sheetView topLeftCell="A108" zoomScaleNormal="100" workbookViewId="0">
      <selection activeCell="K128" sqref="K128"/>
    </sheetView>
  </sheetViews>
  <sheetFormatPr defaultColWidth="9.109375" defaultRowHeight="14.4"/>
  <cols>
    <col min="1" max="1" width="9.109375" style="1"/>
    <col min="2" max="2" width="3.44140625" style="1" customWidth="1"/>
    <col min="3" max="3" width="37.6640625" style="1" customWidth="1"/>
    <col min="4" max="13" width="9.109375" style="1"/>
    <col min="14" max="14" width="17.88671875" style="1" customWidth="1"/>
    <col min="15" max="15" width="4" style="1" customWidth="1"/>
    <col min="16" max="16" width="11.33203125" style="1" bestFit="1" customWidth="1"/>
    <col min="17" max="17" width="16" style="1" hidden="1" customWidth="1"/>
    <col min="18" max="18" width="15.33203125" style="1" bestFit="1" customWidth="1"/>
    <col min="19" max="20" width="14.33203125" style="1" bestFit="1" customWidth="1"/>
    <col min="21" max="21" width="9.109375" style="1"/>
    <col min="22" max="22" width="17.33203125" style="1" customWidth="1"/>
    <col min="23" max="23" width="10.5546875" style="1" bestFit="1" customWidth="1"/>
    <col min="24" max="24" width="11.5546875" style="1" bestFit="1" customWidth="1"/>
    <col min="25" max="16384" width="9.109375" style="1"/>
  </cols>
  <sheetData>
    <row r="1" spans="2:17" ht="15" thickBot="1"/>
    <row r="2" spans="2:17" ht="15" thickBot="1">
      <c r="B2" s="2"/>
      <c r="C2" s="3"/>
      <c r="D2" s="3"/>
      <c r="E2" s="3"/>
      <c r="F2" s="3"/>
      <c r="G2" s="3"/>
      <c r="H2" s="3"/>
      <c r="I2" s="3"/>
      <c r="J2" s="3"/>
      <c r="K2" s="3"/>
      <c r="L2" s="3"/>
      <c r="M2" s="3"/>
      <c r="N2" s="3"/>
      <c r="O2" s="4"/>
    </row>
    <row r="3" spans="2:17" ht="20.25" customHeight="1">
      <c r="B3" s="5"/>
      <c r="C3" s="194" t="s">
        <v>0</v>
      </c>
      <c r="D3" s="195"/>
      <c r="E3" s="195"/>
      <c r="F3" s="195"/>
      <c r="G3" s="195"/>
      <c r="H3" s="195"/>
      <c r="I3" s="195"/>
      <c r="J3" s="195"/>
      <c r="K3" s="195"/>
      <c r="L3" s="195"/>
      <c r="M3" s="195"/>
      <c r="N3" s="196"/>
      <c r="O3" s="6"/>
    </row>
    <row r="4" spans="2:17" ht="20.25" customHeight="1" thickBot="1">
      <c r="B4" s="5"/>
      <c r="C4" s="197"/>
      <c r="D4" s="198"/>
      <c r="E4" s="198"/>
      <c r="F4" s="198"/>
      <c r="G4" s="198"/>
      <c r="H4" s="198"/>
      <c r="I4" s="198"/>
      <c r="J4" s="198"/>
      <c r="K4" s="198"/>
      <c r="L4" s="198"/>
      <c r="M4" s="198"/>
      <c r="N4" s="199"/>
      <c r="O4" s="6"/>
    </row>
    <row r="5" spans="2:17" ht="15" thickBot="1">
      <c r="B5" s="5"/>
      <c r="C5" s="7"/>
      <c r="D5" s="7"/>
      <c r="E5" s="7"/>
      <c r="F5" s="7"/>
      <c r="G5" s="7"/>
      <c r="H5" s="7"/>
      <c r="I5" s="7"/>
      <c r="J5" s="7"/>
      <c r="K5" s="7"/>
      <c r="L5" s="7"/>
      <c r="M5" s="7"/>
      <c r="N5" s="7"/>
      <c r="O5" s="6"/>
    </row>
    <row r="6" spans="2:17" ht="15" thickBot="1">
      <c r="B6" s="5"/>
      <c r="C6" s="200" t="s">
        <v>233</v>
      </c>
      <c r="D6" s="201"/>
      <c r="E6" s="201"/>
      <c r="F6" s="201"/>
      <c r="G6" s="201"/>
      <c r="H6" s="201"/>
      <c r="I6" s="201"/>
      <c r="J6" s="201"/>
      <c r="K6" s="201"/>
      <c r="L6" s="201"/>
      <c r="M6" s="201"/>
      <c r="N6" s="202"/>
      <c r="O6" s="6"/>
    </row>
    <row r="7" spans="2:17" ht="15" thickBot="1">
      <c r="B7" s="5"/>
      <c r="C7" s="7"/>
      <c r="D7" s="7"/>
      <c r="E7" s="7"/>
      <c r="F7" s="7"/>
      <c r="G7" s="7"/>
      <c r="H7" s="7"/>
      <c r="I7" s="7"/>
      <c r="J7" s="7"/>
      <c r="K7" s="7"/>
      <c r="L7" s="7"/>
      <c r="M7" s="7"/>
      <c r="N7" s="7"/>
      <c r="O7" s="6"/>
    </row>
    <row r="8" spans="2:17">
      <c r="B8" s="5"/>
      <c r="C8" s="8" t="s">
        <v>234</v>
      </c>
      <c r="D8" s="9"/>
      <c r="E8" s="9"/>
      <c r="F8" s="9"/>
      <c r="G8" s="9"/>
      <c r="H8" s="9"/>
      <c r="I8" s="10"/>
      <c r="J8" s="203">
        <f>J9+10</f>
        <v>44691</v>
      </c>
      <c r="K8" s="203"/>
      <c r="L8" s="203"/>
      <c r="M8" s="203"/>
      <c r="N8" s="204"/>
      <c r="O8" s="6"/>
    </row>
    <row r="9" spans="2:17">
      <c r="B9" s="5"/>
      <c r="C9" s="11" t="s">
        <v>235</v>
      </c>
      <c r="D9" s="12"/>
      <c r="E9" s="12"/>
      <c r="F9" s="12"/>
      <c r="G9" s="12"/>
      <c r="H9" s="12"/>
      <c r="I9" s="13"/>
      <c r="J9" s="186">
        <v>44681</v>
      </c>
      <c r="K9" s="186"/>
      <c r="L9" s="186"/>
      <c r="M9" s="186"/>
      <c r="N9" s="187"/>
      <c r="O9" s="6"/>
    </row>
    <row r="10" spans="2:17">
      <c r="B10" s="5"/>
      <c r="C10" s="188" t="s">
        <v>4</v>
      </c>
      <c r="D10" s="189"/>
      <c r="E10" s="205"/>
      <c r="F10" s="14" t="s">
        <v>236</v>
      </c>
      <c r="G10" s="12"/>
      <c r="H10" s="12"/>
      <c r="I10" s="13"/>
      <c r="J10" s="186">
        <v>44592</v>
      </c>
      <c r="K10" s="186"/>
      <c r="L10" s="186"/>
      <c r="M10" s="186"/>
      <c r="N10" s="187"/>
      <c r="O10" s="6"/>
      <c r="Q10" s="145">
        <v>44651</v>
      </c>
    </row>
    <row r="11" spans="2:17">
      <c r="B11" s="5"/>
      <c r="C11" s="191"/>
      <c r="D11" s="192"/>
      <c r="E11" s="190"/>
      <c r="F11" s="15" t="s">
        <v>237</v>
      </c>
      <c r="G11" s="12"/>
      <c r="H11" s="12"/>
      <c r="I11" s="13"/>
      <c r="J11" s="186">
        <f>J9</f>
        <v>44681</v>
      </c>
      <c r="K11" s="186"/>
      <c r="L11" s="186"/>
      <c r="M11" s="186"/>
      <c r="N11" s="187"/>
      <c r="O11" s="6"/>
    </row>
    <row r="12" spans="2:17">
      <c r="B12" s="5"/>
      <c r="C12" s="146" t="s">
        <v>238</v>
      </c>
      <c r="D12" s="17"/>
      <c r="E12" s="147"/>
      <c r="F12" s="19"/>
      <c r="G12" s="12"/>
      <c r="H12" s="12"/>
      <c r="I12" s="13"/>
      <c r="J12" s="184">
        <f>J11-J10</f>
        <v>89</v>
      </c>
      <c r="K12" s="184"/>
      <c r="L12" s="184"/>
      <c r="M12" s="184"/>
      <c r="N12" s="185"/>
      <c r="O12" s="6"/>
    </row>
    <row r="13" spans="2:17">
      <c r="B13" s="5"/>
      <c r="C13" s="188" t="s">
        <v>239</v>
      </c>
      <c r="D13" s="189"/>
      <c r="E13" s="205"/>
      <c r="F13" s="14" t="s">
        <v>240</v>
      </c>
      <c r="G13" s="19"/>
      <c r="H13" s="19"/>
      <c r="I13" s="21"/>
      <c r="J13" s="358" t="s">
        <v>241</v>
      </c>
      <c r="K13" s="358"/>
      <c r="L13" s="358"/>
      <c r="M13" s="358"/>
      <c r="N13" s="359"/>
      <c r="O13" s="6"/>
    </row>
    <row r="14" spans="2:17">
      <c r="B14" s="5"/>
      <c r="C14" s="191"/>
      <c r="D14" s="192"/>
      <c r="E14" s="193"/>
      <c r="F14" s="14" t="s">
        <v>242</v>
      </c>
      <c r="G14" s="19"/>
      <c r="H14" s="19"/>
      <c r="I14" s="21"/>
      <c r="J14" s="358" t="s">
        <v>241</v>
      </c>
      <c r="K14" s="358"/>
      <c r="L14" s="358"/>
      <c r="M14" s="358"/>
      <c r="N14" s="359"/>
      <c r="O14" s="6"/>
    </row>
    <row r="15" spans="2:17">
      <c r="B15" s="5"/>
      <c r="C15" s="16" t="s">
        <v>243</v>
      </c>
      <c r="D15" s="23"/>
      <c r="E15" s="23"/>
      <c r="F15" s="19"/>
      <c r="G15" s="19"/>
      <c r="H15" s="19"/>
      <c r="I15" s="21"/>
      <c r="J15" s="186">
        <v>52366</v>
      </c>
      <c r="K15" s="186"/>
      <c r="L15" s="186"/>
      <c r="M15" s="186"/>
      <c r="N15" s="187"/>
      <c r="O15" s="6"/>
    </row>
    <row r="16" spans="2:17">
      <c r="B16" s="5"/>
      <c r="C16" s="16" t="s">
        <v>244</v>
      </c>
      <c r="D16" s="23"/>
      <c r="E16" s="23"/>
      <c r="F16" s="19"/>
      <c r="G16" s="19"/>
      <c r="H16" s="19"/>
      <c r="I16" s="21"/>
      <c r="J16" s="360">
        <v>4.1669999999999999E-2</v>
      </c>
      <c r="K16" s="360"/>
      <c r="L16" s="360"/>
      <c r="M16" s="360"/>
      <c r="N16" s="361"/>
      <c r="O16" s="6"/>
    </row>
    <row r="17" spans="2:24">
      <c r="B17" s="5"/>
      <c r="C17" s="188" t="s">
        <v>245</v>
      </c>
      <c r="D17" s="189"/>
      <c r="E17" s="205"/>
      <c r="F17" s="19" t="s">
        <v>246</v>
      </c>
      <c r="G17" s="19"/>
      <c r="H17" s="19"/>
      <c r="I17" s="21"/>
      <c r="J17" s="353">
        <v>44607</v>
      </c>
      <c r="K17" s="354"/>
      <c r="L17" s="354"/>
      <c r="M17" s="354"/>
      <c r="N17" s="355"/>
      <c r="O17" s="6"/>
    </row>
    <row r="18" spans="2:24">
      <c r="B18" s="5"/>
      <c r="C18" s="191"/>
      <c r="D18" s="192"/>
      <c r="E18" s="193"/>
      <c r="F18" s="19" t="s">
        <v>247</v>
      </c>
      <c r="G18" s="19"/>
      <c r="H18" s="19"/>
      <c r="I18" s="21"/>
      <c r="J18" s="353">
        <v>44697</v>
      </c>
      <c r="K18" s="354"/>
      <c r="L18" s="354"/>
      <c r="M18" s="354"/>
      <c r="N18" s="355"/>
      <c r="O18" s="6"/>
    </row>
    <row r="19" spans="2:24">
      <c r="B19" s="5"/>
      <c r="C19" s="20" t="s">
        <v>248</v>
      </c>
      <c r="D19" s="19"/>
      <c r="E19" s="19"/>
      <c r="F19" s="19"/>
      <c r="G19" s="19"/>
      <c r="H19" s="19"/>
      <c r="I19" s="21"/>
      <c r="J19" s="356" t="s">
        <v>17</v>
      </c>
      <c r="K19" s="356"/>
      <c r="L19" s="356"/>
      <c r="M19" s="356"/>
      <c r="N19" s="357"/>
      <c r="O19" s="6"/>
    </row>
    <row r="20" spans="2:24" ht="15" thickBot="1">
      <c r="B20" s="5"/>
      <c r="C20" s="57" t="s">
        <v>249</v>
      </c>
      <c r="D20" s="148"/>
      <c r="E20" s="148"/>
      <c r="F20" s="148"/>
      <c r="G20" s="148"/>
      <c r="H20" s="148"/>
      <c r="I20" s="148"/>
      <c r="J20" s="219" t="s">
        <v>250</v>
      </c>
      <c r="K20" s="219"/>
      <c r="L20" s="219"/>
      <c r="M20" s="219"/>
      <c r="N20" s="220"/>
      <c r="O20" s="6"/>
    </row>
    <row r="21" spans="2:24" ht="15" thickBot="1">
      <c r="B21" s="5"/>
      <c r="C21" s="5"/>
      <c r="D21" s="7"/>
      <c r="E21" s="7"/>
      <c r="F21" s="7"/>
      <c r="G21" s="7"/>
      <c r="H21" s="7"/>
      <c r="I21" s="7"/>
      <c r="J21" s="7"/>
      <c r="K21" s="7"/>
      <c r="L21" s="7"/>
      <c r="M21" s="7"/>
      <c r="N21" s="6"/>
      <c r="O21" s="6"/>
    </row>
    <row r="22" spans="2:24">
      <c r="B22" s="5"/>
      <c r="C22" s="224" t="s">
        <v>251</v>
      </c>
      <c r="D22" s="225"/>
      <c r="E22" s="225"/>
      <c r="F22" s="225"/>
      <c r="G22" s="225"/>
      <c r="H22" s="225"/>
      <c r="I22" s="225"/>
      <c r="J22" s="225"/>
      <c r="K22" s="225"/>
      <c r="L22" s="225"/>
      <c r="M22" s="225"/>
      <c r="N22" s="226"/>
      <c r="O22" s="6"/>
    </row>
    <row r="23" spans="2:24">
      <c r="B23" s="5"/>
      <c r="C23" s="206" t="s">
        <v>252</v>
      </c>
      <c r="D23" s="207"/>
      <c r="E23" s="207"/>
      <c r="F23" s="207"/>
      <c r="G23" s="207"/>
      <c r="H23" s="207"/>
      <c r="I23" s="207"/>
      <c r="J23" s="207"/>
      <c r="K23" s="207"/>
      <c r="L23" s="207"/>
      <c r="M23" s="207"/>
      <c r="N23" s="208"/>
      <c r="O23" s="6"/>
    </row>
    <row r="24" spans="2:24">
      <c r="B24" s="5"/>
      <c r="C24" s="78" t="s">
        <v>253</v>
      </c>
      <c r="D24" s="149"/>
      <c r="E24" s="149"/>
      <c r="F24" s="149"/>
      <c r="G24" s="149"/>
      <c r="H24" s="149"/>
      <c r="I24" s="150"/>
      <c r="J24" s="366">
        <v>599284371.26999986</v>
      </c>
      <c r="K24" s="366"/>
      <c r="L24" s="366"/>
      <c r="M24" s="366"/>
      <c r="N24" s="367"/>
      <c r="O24" s="6"/>
    </row>
    <row r="25" spans="2:24">
      <c r="B25" s="5"/>
      <c r="C25" s="206" t="s">
        <v>254</v>
      </c>
      <c r="D25" s="207"/>
      <c r="E25" s="207"/>
      <c r="F25" s="207"/>
      <c r="G25" s="207"/>
      <c r="H25" s="207"/>
      <c r="I25" s="207"/>
      <c r="J25" s="207"/>
      <c r="K25" s="207"/>
      <c r="L25" s="207"/>
      <c r="M25" s="207"/>
      <c r="N25" s="208"/>
      <c r="O25" s="6"/>
    </row>
    <row r="26" spans="2:24">
      <c r="B26" s="5"/>
      <c r="C26" s="84" t="s">
        <v>255</v>
      </c>
      <c r="D26" s="151"/>
      <c r="E26" s="151"/>
      <c r="F26" s="151"/>
      <c r="G26" s="151"/>
      <c r="H26" s="151"/>
      <c r="I26" s="151"/>
      <c r="J26" s="229">
        <f>SUM(J27:M28)</f>
        <v>527282945.88999999</v>
      </c>
      <c r="K26" s="230"/>
      <c r="L26" s="230"/>
      <c r="M26" s="230"/>
      <c r="N26" s="231"/>
      <c r="O26" s="6"/>
    </row>
    <row r="27" spans="2:24">
      <c r="B27" s="5"/>
      <c r="C27" s="152" t="s">
        <v>256</v>
      </c>
      <c r="D27" s="151"/>
      <c r="E27" s="151"/>
      <c r="F27" s="151"/>
      <c r="G27" s="151"/>
      <c r="H27" s="151"/>
      <c r="I27" s="151"/>
      <c r="J27" s="362">
        <v>498567762.30999994</v>
      </c>
      <c r="K27" s="363"/>
      <c r="L27" s="363"/>
      <c r="M27" s="363"/>
      <c r="N27" s="153"/>
      <c r="O27" s="6"/>
      <c r="R27" s="89"/>
      <c r="S27" s="62"/>
    </row>
    <row r="28" spans="2:24">
      <c r="B28" s="5"/>
      <c r="C28" s="152" t="s">
        <v>257</v>
      </c>
      <c r="D28" s="151"/>
      <c r="E28" s="151"/>
      <c r="F28" s="151"/>
      <c r="G28" s="151"/>
      <c r="H28" s="151"/>
      <c r="I28" s="151"/>
      <c r="J28" s="362">
        <v>28715183.580000043</v>
      </c>
      <c r="K28" s="363"/>
      <c r="L28" s="363"/>
      <c r="M28" s="363"/>
      <c r="N28" s="154"/>
      <c r="O28" s="6"/>
      <c r="Q28" s="89"/>
      <c r="R28" s="89"/>
      <c r="S28" s="62"/>
    </row>
    <row r="29" spans="2:24">
      <c r="B29" s="5"/>
      <c r="C29" s="84" t="s">
        <v>258</v>
      </c>
      <c r="D29" s="151"/>
      <c r="E29" s="151"/>
      <c r="F29" s="151"/>
      <c r="G29" s="151"/>
      <c r="H29" s="151"/>
      <c r="I29" s="151"/>
      <c r="J29" s="229">
        <f>SUM(J30:M31)</f>
        <v>9319855.8984999992</v>
      </c>
      <c r="K29" s="230"/>
      <c r="L29" s="230"/>
      <c r="M29" s="230"/>
      <c r="N29" s="231"/>
      <c r="O29" s="6"/>
    </row>
    <row r="30" spans="2:24">
      <c r="B30" s="5"/>
      <c r="C30" s="152" t="s">
        <v>259</v>
      </c>
      <c r="D30" s="151"/>
      <c r="E30" s="151"/>
      <c r="F30" s="151"/>
      <c r="G30" s="151"/>
      <c r="H30" s="151"/>
      <c r="I30" s="151"/>
      <c r="J30" s="362">
        <v>9145369.8499999996</v>
      </c>
      <c r="K30" s="363"/>
      <c r="L30" s="363"/>
      <c r="M30" s="363"/>
      <c r="N30" s="153"/>
      <c r="O30" s="6"/>
      <c r="T30" s="144"/>
      <c r="V30" s="67"/>
      <c r="W30" s="67"/>
      <c r="X30" s="67"/>
    </row>
    <row r="31" spans="2:24">
      <c r="B31" s="5"/>
      <c r="C31" s="152" t="s">
        <v>260</v>
      </c>
      <c r="D31" s="151"/>
      <c r="E31" s="151"/>
      <c r="F31" s="151"/>
      <c r="G31" s="151"/>
      <c r="H31" s="151"/>
      <c r="I31" s="151"/>
      <c r="J31" s="364">
        <v>174486.0485</v>
      </c>
      <c r="K31" s="365"/>
      <c r="L31" s="365"/>
      <c r="M31" s="365"/>
      <c r="N31" s="154"/>
      <c r="O31" s="6"/>
    </row>
    <row r="32" spans="2:24">
      <c r="B32" s="5"/>
      <c r="C32" s="206" t="s">
        <v>261</v>
      </c>
      <c r="D32" s="207"/>
      <c r="E32" s="207"/>
      <c r="F32" s="207"/>
      <c r="G32" s="207"/>
      <c r="H32" s="207"/>
      <c r="I32" s="207"/>
      <c r="J32" s="207"/>
      <c r="K32" s="207"/>
      <c r="L32" s="207"/>
      <c r="M32" s="207"/>
      <c r="N32" s="208"/>
      <c r="O32" s="6"/>
    </row>
    <row r="33" spans="2:22">
      <c r="B33" s="5"/>
      <c r="C33" s="78" t="s">
        <v>262</v>
      </c>
      <c r="D33" s="149"/>
      <c r="E33" s="149"/>
      <c r="F33" s="149"/>
      <c r="G33" s="149"/>
      <c r="H33" s="149"/>
      <c r="I33" s="150"/>
      <c r="J33" s="230">
        <f>SUM(J34:M36)</f>
        <v>37526004.469999991</v>
      </c>
      <c r="K33" s="230"/>
      <c r="L33" s="230"/>
      <c r="M33" s="230"/>
      <c r="N33" s="231"/>
      <c r="O33" s="6"/>
    </row>
    <row r="34" spans="2:22">
      <c r="B34" s="5"/>
      <c r="C34" s="50" t="s">
        <v>263</v>
      </c>
      <c r="D34" s="151"/>
      <c r="E34" s="151"/>
      <c r="F34" s="151"/>
      <c r="G34" s="151"/>
      <c r="H34" s="151"/>
      <c r="I34" s="155"/>
      <c r="J34" s="363">
        <v>10472958.228153</v>
      </c>
      <c r="K34" s="363"/>
      <c r="L34" s="363"/>
      <c r="M34" s="363"/>
      <c r="N34" s="156"/>
      <c r="O34" s="6"/>
    </row>
    <row r="35" spans="2:22">
      <c r="B35" s="5"/>
      <c r="C35" s="50" t="s">
        <v>264</v>
      </c>
      <c r="D35" s="151"/>
      <c r="E35" s="151"/>
      <c r="F35" s="151"/>
      <c r="G35" s="151"/>
      <c r="H35" s="151"/>
      <c r="I35" s="155"/>
      <c r="J35" s="362">
        <v>27053046.241846994</v>
      </c>
      <c r="K35" s="363"/>
      <c r="L35" s="363"/>
      <c r="M35" s="363"/>
      <c r="N35" s="156"/>
      <c r="O35" s="6"/>
      <c r="Q35" s="89"/>
      <c r="R35" s="89"/>
      <c r="S35" s="89"/>
      <c r="T35" s="144"/>
      <c r="V35" s="89"/>
    </row>
    <row r="36" spans="2:22">
      <c r="B36" s="5"/>
      <c r="C36" s="71" t="s">
        <v>265</v>
      </c>
      <c r="D36" s="157"/>
      <c r="E36" s="157"/>
      <c r="F36" s="157"/>
      <c r="G36" s="157"/>
      <c r="H36" s="157"/>
      <c r="I36" s="158"/>
      <c r="J36" s="363">
        <v>0</v>
      </c>
      <c r="K36" s="363"/>
      <c r="L36" s="363"/>
      <c r="M36" s="363"/>
      <c r="N36" s="156"/>
      <c r="O36" s="6"/>
    </row>
    <row r="37" spans="2:22">
      <c r="B37" s="5"/>
      <c r="C37" s="206" t="s">
        <v>266</v>
      </c>
      <c r="D37" s="207"/>
      <c r="E37" s="207"/>
      <c r="F37" s="207"/>
      <c r="G37" s="207"/>
      <c r="H37" s="207"/>
      <c r="I37" s="207"/>
      <c r="J37" s="207"/>
      <c r="K37" s="207"/>
      <c r="L37" s="207"/>
      <c r="M37" s="207"/>
      <c r="N37" s="208"/>
      <c r="O37" s="6"/>
    </row>
    <row r="38" spans="2:22">
      <c r="B38" s="5"/>
      <c r="C38" s="78" t="s">
        <v>267</v>
      </c>
      <c r="D38" s="149"/>
      <c r="E38" s="149"/>
      <c r="F38" s="149"/>
      <c r="G38" s="149"/>
      <c r="H38" s="149"/>
      <c r="I38" s="150"/>
      <c r="J38" s="230">
        <f>SUM(J39:M41)</f>
        <v>34251929.789999999</v>
      </c>
      <c r="K38" s="230"/>
      <c r="L38" s="230"/>
      <c r="M38" s="230"/>
      <c r="N38" s="231"/>
      <c r="O38" s="6"/>
      <c r="Q38" s="89"/>
      <c r="R38" s="89"/>
      <c r="S38" s="89"/>
      <c r="T38" s="144"/>
      <c r="V38" s="89"/>
    </row>
    <row r="39" spans="2:22">
      <c r="B39" s="5"/>
      <c r="C39" s="50" t="s">
        <v>268</v>
      </c>
      <c r="D39" s="151"/>
      <c r="E39" s="151"/>
      <c r="F39" s="151"/>
      <c r="G39" s="151"/>
      <c r="H39" s="151"/>
      <c r="I39" s="155"/>
      <c r="J39" s="363">
        <v>10655778.748152999</v>
      </c>
      <c r="K39" s="363"/>
      <c r="L39" s="363"/>
      <c r="M39" s="363"/>
      <c r="N39" s="153"/>
      <c r="O39" s="6"/>
    </row>
    <row r="40" spans="2:22">
      <c r="B40" s="5"/>
      <c r="C40" s="50" t="s">
        <v>269</v>
      </c>
      <c r="D40" s="151"/>
      <c r="E40" s="151"/>
      <c r="F40" s="151"/>
      <c r="G40" s="151"/>
      <c r="H40" s="151"/>
      <c r="I40" s="155"/>
      <c r="J40" s="363">
        <v>23596151.041846998</v>
      </c>
      <c r="K40" s="363"/>
      <c r="L40" s="363"/>
      <c r="M40" s="363"/>
      <c r="N40" s="153"/>
      <c r="O40" s="6"/>
      <c r="Q40" s="89"/>
      <c r="R40" s="89"/>
      <c r="S40" s="89"/>
      <c r="T40" s="144"/>
      <c r="V40" s="89"/>
    </row>
    <row r="41" spans="2:22">
      <c r="B41" s="5"/>
      <c r="C41" s="71" t="s">
        <v>270</v>
      </c>
      <c r="D41" s="157"/>
      <c r="E41" s="157"/>
      <c r="F41" s="157"/>
      <c r="G41" s="157"/>
      <c r="H41" s="157"/>
      <c r="I41" s="158"/>
      <c r="J41" s="363">
        <v>0</v>
      </c>
      <c r="K41" s="363"/>
      <c r="L41" s="363"/>
      <c r="M41" s="363"/>
      <c r="N41" s="153"/>
      <c r="O41" s="6"/>
    </row>
    <row r="42" spans="2:22">
      <c r="B42" s="5"/>
      <c r="C42" s="84" t="s">
        <v>271</v>
      </c>
      <c r="D42" s="151"/>
      <c r="E42" s="151"/>
      <c r="F42" s="151"/>
      <c r="G42" s="151"/>
      <c r="H42" s="151"/>
      <c r="I42" s="155"/>
      <c r="J42" s="209">
        <v>7736783</v>
      </c>
      <c r="K42" s="210"/>
      <c r="L42" s="210"/>
      <c r="M42" s="210"/>
      <c r="N42" s="211"/>
      <c r="O42" s="6"/>
      <c r="P42" s="159"/>
      <c r="Q42" s="79"/>
      <c r="R42" s="79"/>
      <c r="S42" s="79"/>
      <c r="T42" s="79"/>
      <c r="V42" s="89"/>
    </row>
    <row r="43" spans="2:22">
      <c r="B43" s="5"/>
      <c r="C43" s="99" t="s">
        <v>272</v>
      </c>
      <c r="D43" s="160"/>
      <c r="E43" s="160"/>
      <c r="F43" s="160"/>
      <c r="G43" s="160"/>
      <c r="H43" s="160"/>
      <c r="I43" s="161"/>
      <c r="J43" s="209">
        <v>0</v>
      </c>
      <c r="K43" s="210"/>
      <c r="L43" s="210"/>
      <c r="M43" s="210"/>
      <c r="N43" s="211"/>
      <c r="O43" s="6"/>
    </row>
    <row r="44" spans="2:22">
      <c r="B44" s="5"/>
      <c r="C44" s="99" t="s">
        <v>273</v>
      </c>
      <c r="D44" s="160"/>
      <c r="E44" s="160"/>
      <c r="F44" s="160"/>
      <c r="G44" s="160"/>
      <c r="H44" s="160"/>
      <c r="I44" s="161"/>
      <c r="J44" s="209">
        <v>0</v>
      </c>
      <c r="K44" s="210"/>
      <c r="L44" s="210"/>
      <c r="M44" s="210"/>
      <c r="N44" s="211"/>
      <c r="O44" s="6"/>
    </row>
    <row r="45" spans="2:22" ht="13.95" customHeight="1">
      <c r="B45" s="5"/>
      <c r="C45" s="78" t="s">
        <v>274</v>
      </c>
      <c r="D45" s="149"/>
      <c r="E45" s="149"/>
      <c r="F45" s="149"/>
      <c r="G45" s="149"/>
      <c r="H45" s="149"/>
      <c r="I45" s="149"/>
      <c r="J45" s="229">
        <f>SUM(J46:M47)</f>
        <v>28250920</v>
      </c>
      <c r="K45" s="230"/>
      <c r="L45" s="230"/>
      <c r="M45" s="230"/>
      <c r="N45" s="231"/>
      <c r="O45" s="6"/>
      <c r="R45" s="62"/>
    </row>
    <row r="46" spans="2:22">
      <c r="B46" s="5"/>
      <c r="C46" s="152" t="s">
        <v>275</v>
      </c>
      <c r="D46" s="151"/>
      <c r="E46" s="151"/>
      <c r="F46" s="151"/>
      <c r="G46" s="151"/>
      <c r="H46" s="151"/>
      <c r="I46" s="151"/>
      <c r="J46" s="368">
        <v>0</v>
      </c>
      <c r="K46" s="369"/>
      <c r="L46" s="369"/>
      <c r="M46" s="369"/>
      <c r="N46" s="162"/>
      <c r="O46" s="6"/>
      <c r="R46" s="62"/>
    </row>
    <row r="47" spans="2:22">
      <c r="B47" s="5"/>
      <c r="C47" s="163" t="s">
        <v>276</v>
      </c>
      <c r="D47" s="157"/>
      <c r="E47" s="157"/>
      <c r="F47" s="157"/>
      <c r="G47" s="157"/>
      <c r="H47" s="157"/>
      <c r="I47" s="157"/>
      <c r="J47" s="364">
        <v>28250920</v>
      </c>
      <c r="K47" s="365"/>
      <c r="L47" s="365"/>
      <c r="M47" s="365"/>
      <c r="N47" s="164"/>
      <c r="O47" s="6"/>
      <c r="R47" s="62"/>
      <c r="S47" s="67"/>
      <c r="T47" s="67"/>
    </row>
    <row r="48" spans="2:22">
      <c r="B48" s="5"/>
      <c r="C48" s="371" t="s">
        <v>277</v>
      </c>
      <c r="D48" s="372"/>
      <c r="E48" s="372"/>
      <c r="F48" s="372"/>
      <c r="G48" s="372"/>
      <c r="H48" s="372"/>
      <c r="I48" s="372"/>
      <c r="J48" s="372"/>
      <c r="K48" s="372"/>
      <c r="L48" s="372"/>
      <c r="M48" s="372"/>
      <c r="N48" s="373"/>
      <c r="O48" s="6"/>
    </row>
    <row r="49" spans="2:22" ht="15" thickBot="1">
      <c r="B49" s="5"/>
      <c r="C49" s="128" t="s">
        <v>278</v>
      </c>
      <c r="D49" s="165"/>
      <c r="E49" s="165"/>
      <c r="F49" s="165"/>
      <c r="G49" s="165"/>
      <c r="H49" s="165"/>
      <c r="I49" s="166"/>
      <c r="J49" s="374">
        <v>1092250006.3410008</v>
      </c>
      <c r="K49" s="375"/>
      <c r="L49" s="375"/>
      <c r="M49" s="375"/>
      <c r="N49" s="376"/>
      <c r="O49" s="6"/>
      <c r="Q49" s="62"/>
      <c r="R49" s="62"/>
    </row>
    <row r="50" spans="2:22" ht="15" thickBot="1">
      <c r="B50" s="5"/>
      <c r="C50" s="167"/>
      <c r="D50" s="167"/>
      <c r="E50" s="167"/>
      <c r="F50" s="167"/>
      <c r="G50" s="167"/>
      <c r="H50" s="167"/>
      <c r="I50" s="167"/>
      <c r="J50" s="167"/>
      <c r="K50" s="167"/>
      <c r="L50" s="167"/>
      <c r="M50" s="167"/>
      <c r="N50" s="168"/>
      <c r="O50" s="6"/>
      <c r="Q50" s="62"/>
    </row>
    <row r="51" spans="2:22">
      <c r="B51" s="5"/>
      <c r="C51" s="224" t="s">
        <v>279</v>
      </c>
      <c r="D51" s="225"/>
      <c r="E51" s="225"/>
      <c r="F51" s="225"/>
      <c r="G51" s="225"/>
      <c r="H51" s="225"/>
      <c r="I51" s="225"/>
      <c r="J51" s="225"/>
      <c r="K51" s="225"/>
      <c r="L51" s="225"/>
      <c r="M51" s="225"/>
      <c r="N51" s="226"/>
      <c r="O51" s="6"/>
      <c r="R51" s="62"/>
      <c r="V51" s="67"/>
    </row>
    <row r="52" spans="2:22">
      <c r="B52" s="5"/>
      <c r="C52" s="169"/>
      <c r="D52" s="126"/>
      <c r="E52" s="126"/>
      <c r="F52" s="126"/>
      <c r="G52" s="126"/>
      <c r="H52" s="126"/>
      <c r="I52" s="302" t="s">
        <v>280</v>
      </c>
      <c r="J52" s="304"/>
      <c r="K52" s="303"/>
      <c r="L52" s="302" t="s">
        <v>281</v>
      </c>
      <c r="M52" s="304"/>
      <c r="N52" s="377"/>
      <c r="O52" s="6"/>
    </row>
    <row r="53" spans="2:22">
      <c r="B53" s="5"/>
      <c r="C53" s="99" t="s">
        <v>282</v>
      </c>
      <c r="D53" s="170"/>
      <c r="E53" s="170"/>
      <c r="F53" s="170"/>
      <c r="G53" s="170"/>
      <c r="H53" s="170"/>
      <c r="I53" s="229">
        <f>I63-I54-I58</f>
        <v>594366799.71999991</v>
      </c>
      <c r="J53" s="230"/>
      <c r="K53" s="231"/>
      <c r="L53" s="229">
        <f>L63-L54-L58</f>
        <v>1066530495.4235008</v>
      </c>
      <c r="M53" s="230"/>
      <c r="N53" s="231"/>
      <c r="O53" s="6"/>
    </row>
    <row r="54" spans="2:22">
      <c r="B54" s="5"/>
      <c r="C54" s="78" t="s">
        <v>283</v>
      </c>
      <c r="D54" s="171"/>
      <c r="E54" s="171"/>
      <c r="F54" s="171"/>
      <c r="G54" s="171"/>
      <c r="H54" s="171"/>
      <c r="I54" s="229">
        <f>SUM(I55:J57)</f>
        <v>4917571.55</v>
      </c>
      <c r="J54" s="230"/>
      <c r="K54" s="370"/>
      <c r="L54" s="229">
        <f>SUM(L55:M57)</f>
        <v>25719510.9175</v>
      </c>
      <c r="M54" s="230"/>
      <c r="N54" s="231"/>
      <c r="O54" s="6"/>
    </row>
    <row r="55" spans="2:22">
      <c r="B55" s="5"/>
      <c r="C55" s="50" t="s">
        <v>284</v>
      </c>
      <c r="D55" s="172"/>
      <c r="E55" s="172"/>
      <c r="F55" s="172"/>
      <c r="G55" s="172"/>
      <c r="H55" s="172"/>
      <c r="I55" s="362">
        <v>3813410.55</v>
      </c>
      <c r="J55" s="363"/>
      <c r="K55" s="173"/>
      <c r="L55" s="362">
        <v>4023111.4369999999</v>
      </c>
      <c r="M55" s="363"/>
      <c r="N55" s="153"/>
      <c r="O55" s="6"/>
    </row>
    <row r="56" spans="2:22">
      <c r="B56" s="5"/>
      <c r="C56" s="174" t="s">
        <v>285</v>
      </c>
      <c r="D56" s="172"/>
      <c r="E56" s="172"/>
      <c r="F56" s="172"/>
      <c r="G56" s="172"/>
      <c r="H56" s="172"/>
      <c r="I56" s="362">
        <v>1104161</v>
      </c>
      <c r="J56" s="363"/>
      <c r="K56" s="173"/>
      <c r="L56" s="362">
        <v>18726353.155000001</v>
      </c>
      <c r="M56" s="363"/>
      <c r="N56" s="153"/>
      <c r="O56" s="6"/>
    </row>
    <row r="57" spans="2:22">
      <c r="B57" s="5"/>
      <c r="C57" s="175" t="s">
        <v>286</v>
      </c>
      <c r="D57" s="176"/>
      <c r="E57" s="176"/>
      <c r="F57" s="176"/>
      <c r="G57" s="176"/>
      <c r="H57" s="176"/>
      <c r="I57" s="364">
        <v>0</v>
      </c>
      <c r="J57" s="365"/>
      <c r="K57" s="177"/>
      <c r="L57" s="364">
        <v>2970046.3254999998</v>
      </c>
      <c r="M57" s="365"/>
      <c r="N57" s="154"/>
      <c r="O57" s="6"/>
    </row>
    <row r="58" spans="2:22">
      <c r="B58" s="5"/>
      <c r="C58" s="178" t="s">
        <v>287</v>
      </c>
      <c r="D58" s="171"/>
      <c r="E58" s="171"/>
      <c r="F58" s="171"/>
      <c r="G58" s="171"/>
      <c r="H58" s="171"/>
      <c r="I58" s="229">
        <f>SUM(I59:J62)</f>
        <v>0</v>
      </c>
      <c r="J58" s="230"/>
      <c r="K58" s="370"/>
      <c r="L58" s="229">
        <f>SUM(L59:M62)</f>
        <v>0</v>
      </c>
      <c r="M58" s="230"/>
      <c r="N58" s="231"/>
      <c r="O58" s="6"/>
    </row>
    <row r="59" spans="2:22">
      <c r="B59" s="5"/>
      <c r="C59" s="174" t="s">
        <v>288</v>
      </c>
      <c r="D59" s="172"/>
      <c r="E59" s="172"/>
      <c r="F59" s="172"/>
      <c r="G59" s="172"/>
      <c r="H59" s="172"/>
      <c r="I59" s="362">
        <v>0</v>
      </c>
      <c r="J59" s="363"/>
      <c r="K59" s="173"/>
      <c r="L59" s="362">
        <v>0</v>
      </c>
      <c r="M59" s="363"/>
      <c r="N59" s="153"/>
      <c r="O59" s="6"/>
    </row>
    <row r="60" spans="2:22">
      <c r="B60" s="5"/>
      <c r="C60" s="174" t="s">
        <v>289</v>
      </c>
      <c r="D60" s="172"/>
      <c r="E60" s="172"/>
      <c r="F60" s="172"/>
      <c r="G60" s="172"/>
      <c r="H60" s="172"/>
      <c r="I60" s="362">
        <v>0</v>
      </c>
      <c r="J60" s="363"/>
      <c r="K60" s="173"/>
      <c r="L60" s="362">
        <v>0</v>
      </c>
      <c r="M60" s="363"/>
      <c r="N60" s="153"/>
      <c r="O60" s="6"/>
    </row>
    <row r="61" spans="2:22">
      <c r="B61" s="5"/>
      <c r="C61" s="174" t="s">
        <v>290</v>
      </c>
      <c r="D61" s="172"/>
      <c r="E61" s="172"/>
      <c r="F61" s="172"/>
      <c r="G61" s="172"/>
      <c r="H61" s="172"/>
      <c r="I61" s="362">
        <v>0</v>
      </c>
      <c r="J61" s="363"/>
      <c r="K61" s="173"/>
      <c r="L61" s="362">
        <v>0</v>
      </c>
      <c r="M61" s="363"/>
      <c r="N61" s="153"/>
      <c r="O61" s="6"/>
    </row>
    <row r="62" spans="2:22">
      <c r="B62" s="5"/>
      <c r="C62" s="175" t="s">
        <v>291</v>
      </c>
      <c r="D62" s="176"/>
      <c r="E62" s="176"/>
      <c r="F62" s="176"/>
      <c r="G62" s="176"/>
      <c r="H62" s="176"/>
      <c r="I62" s="364">
        <v>0</v>
      </c>
      <c r="J62" s="365"/>
      <c r="K62" s="177"/>
      <c r="L62" s="364">
        <v>0</v>
      </c>
      <c r="M62" s="365"/>
      <c r="N62" s="154"/>
      <c r="O62" s="6"/>
    </row>
    <row r="63" spans="2:22" ht="15" thickBot="1">
      <c r="B63" s="5"/>
      <c r="C63" s="100" t="s">
        <v>292</v>
      </c>
      <c r="D63" s="179"/>
      <c r="E63" s="179"/>
      <c r="F63" s="179"/>
      <c r="G63" s="179"/>
      <c r="H63" s="179"/>
      <c r="I63" s="390">
        <v>599284371.26999986</v>
      </c>
      <c r="J63" s="391"/>
      <c r="K63" s="392"/>
      <c r="L63" s="390">
        <f>J49</f>
        <v>1092250006.3410008</v>
      </c>
      <c r="M63" s="391"/>
      <c r="N63" s="393"/>
      <c r="O63" s="6"/>
    </row>
    <row r="64" spans="2:22" ht="15" thickBot="1">
      <c r="B64" s="5"/>
      <c r="C64" s="167"/>
      <c r="D64" s="167"/>
      <c r="E64" s="167"/>
      <c r="F64" s="167"/>
      <c r="G64" s="167"/>
      <c r="H64" s="167"/>
      <c r="I64" s="167"/>
      <c r="J64" s="167"/>
      <c r="K64" s="167"/>
      <c r="L64" s="167"/>
      <c r="M64" s="167"/>
      <c r="N64" s="167"/>
      <c r="O64" s="6"/>
    </row>
    <row r="65" spans="2:15">
      <c r="B65" s="5"/>
      <c r="C65" s="224" t="s">
        <v>293</v>
      </c>
      <c r="D65" s="225"/>
      <c r="E65" s="225"/>
      <c r="F65" s="225"/>
      <c r="G65" s="225"/>
      <c r="H65" s="225"/>
      <c r="I65" s="225"/>
      <c r="J65" s="225"/>
      <c r="K65" s="225"/>
      <c r="L65" s="225"/>
      <c r="M65" s="225"/>
      <c r="N65" s="226"/>
      <c r="O65" s="6"/>
    </row>
    <row r="66" spans="2:15">
      <c r="B66" s="5"/>
      <c r="C66" s="180"/>
      <c r="D66" s="160"/>
      <c r="E66" s="160"/>
      <c r="F66" s="302" t="s">
        <v>128</v>
      </c>
      <c r="G66" s="304"/>
      <c r="H66" s="303"/>
      <c r="I66" s="302" t="s">
        <v>294</v>
      </c>
      <c r="J66" s="304"/>
      <c r="K66" s="303"/>
      <c r="L66" s="302" t="s">
        <v>295</v>
      </c>
      <c r="M66" s="304"/>
      <c r="N66" s="377"/>
      <c r="O66" s="6"/>
    </row>
    <row r="67" spans="2:15">
      <c r="B67" s="5"/>
      <c r="C67" s="99" t="s">
        <v>296</v>
      </c>
      <c r="D67" s="160"/>
      <c r="E67" s="161"/>
      <c r="F67" s="378" t="s">
        <v>297</v>
      </c>
      <c r="G67" s="379"/>
      <c r="H67" s="380"/>
      <c r="I67" s="381">
        <v>0.58493331990503949</v>
      </c>
      <c r="J67" s="382"/>
      <c r="K67" s="383"/>
      <c r="L67" s="384">
        <v>0.61264644620206743</v>
      </c>
      <c r="M67" s="385"/>
      <c r="N67" s="386"/>
      <c r="O67" s="6"/>
    </row>
    <row r="68" spans="2:15">
      <c r="B68" s="5"/>
      <c r="C68" s="99" t="s">
        <v>298</v>
      </c>
      <c r="D68" s="160"/>
      <c r="E68" s="161"/>
      <c r="F68" s="387" t="s">
        <v>299</v>
      </c>
      <c r="G68" s="379"/>
      <c r="H68" s="380"/>
      <c r="I68" s="381">
        <v>0.13903434830684228</v>
      </c>
      <c r="J68" s="382"/>
      <c r="K68" s="383"/>
      <c r="L68" s="384">
        <v>0.17619315257153526</v>
      </c>
      <c r="M68" s="388"/>
      <c r="N68" s="389"/>
      <c r="O68" s="6"/>
    </row>
    <row r="69" spans="2:15">
      <c r="B69" s="5"/>
      <c r="C69" s="99" t="s">
        <v>300</v>
      </c>
      <c r="D69" s="160"/>
      <c r="E69" s="161"/>
      <c r="F69" s="387" t="s">
        <v>301</v>
      </c>
      <c r="G69" s="379"/>
      <c r="H69" s="380"/>
      <c r="I69" s="398">
        <v>38.780545403059158</v>
      </c>
      <c r="J69" s="399"/>
      <c r="K69" s="400"/>
      <c r="L69" s="398">
        <v>35.717750598372838</v>
      </c>
      <c r="M69" s="399"/>
      <c r="N69" s="400"/>
      <c r="O69" s="6"/>
    </row>
    <row r="70" spans="2:15">
      <c r="B70" s="5"/>
      <c r="C70" s="84" t="s">
        <v>302</v>
      </c>
      <c r="D70" s="172"/>
      <c r="E70" s="172"/>
      <c r="F70" s="401" t="s">
        <v>303</v>
      </c>
      <c r="G70" s="402"/>
      <c r="H70" s="403"/>
      <c r="I70" s="404">
        <v>3.3165326676918017E-2</v>
      </c>
      <c r="J70" s="405"/>
      <c r="K70" s="406"/>
      <c r="L70" s="384">
        <v>3.2592636636161298E-2</v>
      </c>
      <c r="M70" s="388"/>
      <c r="N70" s="389"/>
      <c r="O70" s="6"/>
    </row>
    <row r="71" spans="2:15">
      <c r="B71" s="5"/>
      <c r="C71" s="99" t="s">
        <v>304</v>
      </c>
      <c r="D71" s="170"/>
      <c r="E71" s="181"/>
      <c r="F71" s="394">
        <v>0.22</v>
      </c>
      <c r="G71" s="395">
        <v>0.22</v>
      </c>
      <c r="H71" s="396">
        <v>0.22</v>
      </c>
      <c r="I71" s="381">
        <v>0.22832249683072897</v>
      </c>
      <c r="J71" s="382"/>
      <c r="K71" s="383"/>
      <c r="L71" s="381">
        <v>0.21740272369095839</v>
      </c>
      <c r="M71" s="382"/>
      <c r="N71" s="397"/>
      <c r="O71" s="6"/>
    </row>
    <row r="72" spans="2:15">
      <c r="B72" s="5"/>
      <c r="C72" s="99" t="s">
        <v>305</v>
      </c>
      <c r="D72" s="172"/>
      <c r="E72" s="172"/>
      <c r="F72" s="394">
        <v>0.27</v>
      </c>
      <c r="G72" s="395">
        <v>0.27</v>
      </c>
      <c r="H72" s="396">
        <v>0.27</v>
      </c>
      <c r="I72" s="381">
        <v>0.27512165159687957</v>
      </c>
      <c r="J72" s="382"/>
      <c r="K72" s="383"/>
      <c r="L72" s="381">
        <v>0.25287288939943509</v>
      </c>
      <c r="M72" s="382"/>
      <c r="N72" s="397"/>
      <c r="O72" s="6"/>
    </row>
    <row r="73" spans="2:15">
      <c r="B73" s="5"/>
      <c r="C73" s="99" t="s">
        <v>306</v>
      </c>
      <c r="D73" s="170"/>
      <c r="E73" s="181"/>
      <c r="F73" s="394">
        <v>0.32</v>
      </c>
      <c r="G73" s="395">
        <v>0.32</v>
      </c>
      <c r="H73" s="396">
        <v>0.32</v>
      </c>
      <c r="I73" s="381">
        <v>0.3181827562529419</v>
      </c>
      <c r="J73" s="382"/>
      <c r="K73" s="383"/>
      <c r="L73" s="381">
        <v>0.28440799979543951</v>
      </c>
      <c r="M73" s="382"/>
      <c r="N73" s="397"/>
      <c r="O73" s="6"/>
    </row>
    <row r="74" spans="2:15">
      <c r="B74" s="5"/>
      <c r="C74" s="99" t="s">
        <v>307</v>
      </c>
      <c r="D74" s="170"/>
      <c r="E74" s="181"/>
      <c r="F74" s="394">
        <v>0.36</v>
      </c>
      <c r="G74" s="395">
        <v>0.36</v>
      </c>
      <c r="H74" s="396">
        <v>0.36</v>
      </c>
      <c r="I74" s="381">
        <v>0.35784787720316008</v>
      </c>
      <c r="J74" s="382"/>
      <c r="K74" s="383"/>
      <c r="L74" s="381">
        <v>0.3149357994808808</v>
      </c>
      <c r="M74" s="382"/>
      <c r="N74" s="397"/>
      <c r="O74" s="6"/>
    </row>
    <row r="75" spans="2:15" ht="15" thickBot="1">
      <c r="B75" s="5"/>
      <c r="C75" s="100" t="s">
        <v>308</v>
      </c>
      <c r="D75" s="179"/>
      <c r="E75" s="179"/>
      <c r="F75" s="407">
        <v>0.47</v>
      </c>
      <c r="G75" s="408">
        <v>0.47</v>
      </c>
      <c r="H75" s="409">
        <v>0.47</v>
      </c>
      <c r="I75" s="410">
        <v>0.39613137844211271</v>
      </c>
      <c r="J75" s="411"/>
      <c r="K75" s="412"/>
      <c r="L75" s="410">
        <v>0.3449266701147356</v>
      </c>
      <c r="M75" s="411"/>
      <c r="N75" s="413"/>
      <c r="O75" s="6"/>
    </row>
    <row r="76" spans="2:15" ht="15" thickBot="1">
      <c r="B76" s="5"/>
      <c r="C76" s="167"/>
      <c r="D76" s="167"/>
      <c r="E76" s="167"/>
      <c r="F76" s="167"/>
      <c r="G76" s="167"/>
      <c r="H76" s="167"/>
      <c r="I76" s="167"/>
      <c r="J76" s="167"/>
      <c r="K76" s="167"/>
      <c r="L76" s="167"/>
      <c r="M76" s="167"/>
      <c r="N76" s="167"/>
      <c r="O76" s="6"/>
    </row>
    <row r="77" spans="2:15">
      <c r="B77" s="5"/>
      <c r="C77" s="224" t="s">
        <v>309</v>
      </c>
      <c r="D77" s="225"/>
      <c r="E77" s="225"/>
      <c r="F77" s="225"/>
      <c r="G77" s="290"/>
      <c r="H77" s="290"/>
      <c r="I77" s="225"/>
      <c r="J77" s="225"/>
      <c r="K77" s="225"/>
      <c r="L77" s="225"/>
      <c r="M77" s="225"/>
      <c r="N77" s="226"/>
      <c r="O77" s="6"/>
    </row>
    <row r="78" spans="2:15">
      <c r="B78" s="5"/>
      <c r="C78" s="182" t="s">
        <v>310</v>
      </c>
      <c r="D78" s="170"/>
      <c r="E78" s="170"/>
      <c r="F78" s="170"/>
      <c r="G78" s="302" t="s">
        <v>311</v>
      </c>
      <c r="H78" s="303"/>
      <c r="I78" s="302" t="s">
        <v>312</v>
      </c>
      <c r="J78" s="303"/>
      <c r="K78" s="302" t="s">
        <v>313</v>
      </c>
      <c r="L78" s="303"/>
      <c r="M78" s="304" t="s">
        <v>314</v>
      </c>
      <c r="N78" s="303"/>
      <c r="O78" s="6"/>
    </row>
    <row r="79" spans="2:15">
      <c r="B79" s="5"/>
      <c r="C79" s="183" t="s">
        <v>315</v>
      </c>
      <c r="D79" s="151"/>
      <c r="E79" s="151"/>
      <c r="F79" s="151"/>
      <c r="G79" s="414">
        <v>657334092.09250009</v>
      </c>
      <c r="H79" s="415"/>
      <c r="I79" s="416">
        <f>G79/$G$84</f>
        <v>0.60181651478725706</v>
      </c>
      <c r="J79" s="417"/>
      <c r="K79" s="414">
        <v>118</v>
      </c>
      <c r="L79" s="415"/>
      <c r="M79" s="416">
        <f>K79/$K$84</f>
        <v>0.65921787709497204</v>
      </c>
      <c r="N79" s="417"/>
      <c r="O79" s="6"/>
    </row>
    <row r="80" spans="2:15">
      <c r="B80" s="5"/>
      <c r="C80" s="183" t="s">
        <v>316</v>
      </c>
      <c r="D80" s="151"/>
      <c r="E80" s="151"/>
      <c r="F80" s="151"/>
      <c r="G80" s="414">
        <v>209686216.78650004</v>
      </c>
      <c r="H80" s="415"/>
      <c r="I80" s="416">
        <f t="shared" ref="I80:I83" si="0">G80/$G$84</f>
        <v>0.19197639328832933</v>
      </c>
      <c r="J80" s="417"/>
      <c r="K80" s="414">
        <v>22</v>
      </c>
      <c r="L80" s="415"/>
      <c r="M80" s="416">
        <f t="shared" ref="M80:M83" si="1">K80/$K$84</f>
        <v>0.12290502793296089</v>
      </c>
      <c r="N80" s="417"/>
      <c r="O80" s="6"/>
    </row>
    <row r="81" spans="2:15">
      <c r="B81" s="5"/>
      <c r="C81" s="183" t="s">
        <v>317</v>
      </c>
      <c r="D81" s="151"/>
      <c r="E81" s="151"/>
      <c r="F81" s="151"/>
      <c r="G81" s="414">
        <v>36539804.950000003</v>
      </c>
      <c r="H81" s="415"/>
      <c r="I81" s="416">
        <f t="shared" si="0"/>
        <v>3.3453700835770275E-2</v>
      </c>
      <c r="J81" s="417"/>
      <c r="K81" s="414">
        <v>4</v>
      </c>
      <c r="L81" s="415"/>
      <c r="M81" s="416">
        <f t="shared" si="1"/>
        <v>2.23463687150838E-2</v>
      </c>
      <c r="N81" s="417"/>
      <c r="O81" s="6"/>
    </row>
    <row r="82" spans="2:15">
      <c r="B82" s="5"/>
      <c r="C82" s="183" t="s">
        <v>318</v>
      </c>
      <c r="D82" s="151"/>
      <c r="E82" s="151"/>
      <c r="F82" s="151"/>
      <c r="G82" s="414">
        <v>45952071.060000002</v>
      </c>
      <c r="H82" s="415"/>
      <c r="I82" s="416">
        <f t="shared" si="0"/>
        <v>4.2071019265944302E-2</v>
      </c>
      <c r="J82" s="417"/>
      <c r="K82" s="414">
        <v>10</v>
      </c>
      <c r="L82" s="415"/>
      <c r="M82" s="416">
        <f t="shared" si="1"/>
        <v>5.5865921787709494E-2</v>
      </c>
      <c r="N82" s="417"/>
      <c r="O82" s="6"/>
    </row>
    <row r="83" spans="2:15">
      <c r="B83" s="5"/>
      <c r="C83" s="183" t="s">
        <v>319</v>
      </c>
      <c r="D83" s="151"/>
      <c r="E83" s="151"/>
      <c r="F83" s="151"/>
      <c r="G83" s="420">
        <v>142737821.45199999</v>
      </c>
      <c r="H83" s="421"/>
      <c r="I83" s="416">
        <f t="shared" si="0"/>
        <v>0.13068237182269907</v>
      </c>
      <c r="J83" s="417"/>
      <c r="K83" s="414">
        <v>25</v>
      </c>
      <c r="L83" s="415"/>
      <c r="M83" s="416">
        <f t="shared" si="1"/>
        <v>0.13966480446927373</v>
      </c>
      <c r="N83" s="417"/>
      <c r="O83" s="6"/>
    </row>
    <row r="84" spans="2:15">
      <c r="B84" s="5"/>
      <c r="C84" s="182" t="s">
        <v>320</v>
      </c>
      <c r="D84" s="170"/>
      <c r="E84" s="170"/>
      <c r="F84" s="170"/>
      <c r="G84" s="422">
        <f>SUM(G79:H83)</f>
        <v>1092250006.3410001</v>
      </c>
      <c r="H84" s="423"/>
      <c r="I84" s="424">
        <f>SUM(I79:J83)</f>
        <v>0.99999999999999989</v>
      </c>
      <c r="J84" s="425"/>
      <c r="K84" s="426">
        <f>SUM(K79:L83)</f>
        <v>179</v>
      </c>
      <c r="L84" s="427"/>
      <c r="M84" s="428">
        <f>SUM(M79:N83)</f>
        <v>0.99999999999999989</v>
      </c>
      <c r="N84" s="427"/>
      <c r="O84" s="6"/>
    </row>
    <row r="85" spans="2:15">
      <c r="B85" s="5"/>
      <c r="C85" s="167"/>
      <c r="D85" s="167"/>
      <c r="E85" s="167"/>
      <c r="F85" s="167"/>
      <c r="G85" s="167"/>
      <c r="H85" s="167"/>
      <c r="I85" s="167"/>
      <c r="J85" s="167"/>
      <c r="K85" s="167"/>
      <c r="L85" s="167"/>
      <c r="M85" s="167"/>
      <c r="N85" s="167"/>
      <c r="O85" s="6"/>
    </row>
    <row r="86" spans="2:15">
      <c r="B86" s="5"/>
      <c r="C86" s="182" t="s">
        <v>321</v>
      </c>
      <c r="D86" s="170"/>
      <c r="E86" s="170"/>
      <c r="F86" s="170"/>
      <c r="G86" s="302" t="s">
        <v>311</v>
      </c>
      <c r="H86" s="303"/>
      <c r="I86" s="302" t="s">
        <v>312</v>
      </c>
      <c r="J86" s="303"/>
      <c r="K86" s="302" t="s">
        <v>313</v>
      </c>
      <c r="L86" s="303"/>
      <c r="M86" s="304" t="s">
        <v>314</v>
      </c>
      <c r="N86" s="303"/>
      <c r="O86" s="6"/>
    </row>
    <row r="87" spans="2:15">
      <c r="B87" s="5"/>
      <c r="C87" s="183" t="s">
        <v>322</v>
      </c>
      <c r="D87" s="151"/>
      <c r="E87" s="151"/>
      <c r="F87" s="151"/>
      <c r="G87" s="414">
        <v>10986536.170000002</v>
      </c>
      <c r="H87" s="415"/>
      <c r="I87" s="416">
        <f>G87/$G$92</f>
        <v>1.00586277008178E-2</v>
      </c>
      <c r="J87" s="417"/>
      <c r="K87" s="414">
        <v>8</v>
      </c>
      <c r="L87" s="415"/>
      <c r="M87" s="418">
        <f>K87/$K$92</f>
        <v>4.4692737430167599E-2</v>
      </c>
      <c r="N87" s="419"/>
      <c r="O87" s="6"/>
    </row>
    <row r="88" spans="2:15">
      <c r="B88" s="5"/>
      <c r="C88" s="183" t="s">
        <v>323</v>
      </c>
      <c r="D88" s="151"/>
      <c r="E88" s="151"/>
      <c r="F88" s="151"/>
      <c r="G88" s="414">
        <v>186446241.13199991</v>
      </c>
      <c r="H88" s="415"/>
      <c r="I88" s="416">
        <f t="shared" ref="I88:I91" si="2">G88/$G$92</f>
        <v>0.17069923556841021</v>
      </c>
      <c r="J88" s="417"/>
      <c r="K88" s="414">
        <v>44</v>
      </c>
      <c r="L88" s="415"/>
      <c r="M88" s="416">
        <f t="shared" ref="M88:M91" si="3">K88/$K$92</f>
        <v>0.24581005586592178</v>
      </c>
      <c r="N88" s="417"/>
      <c r="O88" s="6"/>
    </row>
    <row r="89" spans="2:15">
      <c r="B89" s="5"/>
      <c r="C89" s="183" t="s">
        <v>324</v>
      </c>
      <c r="D89" s="151"/>
      <c r="E89" s="151"/>
      <c r="F89" s="151"/>
      <c r="G89" s="414">
        <v>224912617.61850005</v>
      </c>
      <c r="H89" s="415"/>
      <c r="I89" s="416">
        <f t="shared" si="2"/>
        <v>0.20591679222960096</v>
      </c>
      <c r="J89" s="417"/>
      <c r="K89" s="414">
        <v>55</v>
      </c>
      <c r="L89" s="415"/>
      <c r="M89" s="416">
        <f t="shared" si="3"/>
        <v>0.30726256983240224</v>
      </c>
      <c r="N89" s="417"/>
      <c r="O89" s="6"/>
    </row>
    <row r="90" spans="2:15">
      <c r="B90" s="5"/>
      <c r="C90" s="183" t="s">
        <v>325</v>
      </c>
      <c r="D90" s="151"/>
      <c r="E90" s="151"/>
      <c r="F90" s="151"/>
      <c r="G90" s="414">
        <v>477457639.40700001</v>
      </c>
      <c r="H90" s="415"/>
      <c r="I90" s="416">
        <f t="shared" si="2"/>
        <v>0.43713219192963582</v>
      </c>
      <c r="J90" s="417"/>
      <c r="K90" s="414">
        <v>44</v>
      </c>
      <c r="L90" s="415"/>
      <c r="M90" s="416">
        <f t="shared" si="3"/>
        <v>0.24581005586592178</v>
      </c>
      <c r="N90" s="417"/>
      <c r="O90" s="6"/>
    </row>
    <row r="91" spans="2:15">
      <c r="B91" s="5"/>
      <c r="C91" s="183" t="s">
        <v>326</v>
      </c>
      <c r="D91" s="151"/>
      <c r="E91" s="151"/>
      <c r="F91" s="151"/>
      <c r="G91" s="420">
        <v>192446972.01350015</v>
      </c>
      <c r="H91" s="421"/>
      <c r="I91" s="416">
        <f t="shared" si="2"/>
        <v>0.17619315257153523</v>
      </c>
      <c r="J91" s="417"/>
      <c r="K91" s="414">
        <v>28</v>
      </c>
      <c r="L91" s="415"/>
      <c r="M91" s="429">
        <f t="shared" si="3"/>
        <v>0.15642458100558659</v>
      </c>
      <c r="N91" s="430"/>
      <c r="O91" s="6"/>
    </row>
    <row r="92" spans="2:15">
      <c r="B92" s="5"/>
      <c r="C92" s="182" t="s">
        <v>320</v>
      </c>
      <c r="D92" s="170"/>
      <c r="E92" s="170"/>
      <c r="F92" s="170"/>
      <c r="G92" s="422">
        <f>SUM(G87:H91)</f>
        <v>1092250006.3410001</v>
      </c>
      <c r="H92" s="423"/>
      <c r="I92" s="428">
        <f>SUM(I87:J91)</f>
        <v>1</v>
      </c>
      <c r="J92" s="433"/>
      <c r="K92" s="434">
        <f>SUM(K87:L91)</f>
        <v>179</v>
      </c>
      <c r="L92" s="435"/>
      <c r="M92" s="424">
        <f>SUM(M87:N91)</f>
        <v>1</v>
      </c>
      <c r="N92" s="425"/>
      <c r="O92" s="6"/>
    </row>
    <row r="93" spans="2:15">
      <c r="B93" s="5"/>
      <c r="C93" s="7"/>
      <c r="D93" s="7"/>
      <c r="E93" s="7"/>
      <c r="F93" s="7"/>
      <c r="G93" s="7"/>
      <c r="H93" s="7"/>
      <c r="I93" s="7"/>
      <c r="J93" s="7"/>
      <c r="K93" s="7"/>
      <c r="L93" s="7"/>
      <c r="M93" s="7"/>
      <c r="N93" s="7"/>
      <c r="O93" s="6"/>
    </row>
    <row r="94" spans="2:15">
      <c r="B94" s="5"/>
      <c r="C94" s="182" t="s">
        <v>327</v>
      </c>
      <c r="D94" s="170"/>
      <c r="E94" s="170"/>
      <c r="F94" s="170"/>
      <c r="G94" s="302" t="s">
        <v>311</v>
      </c>
      <c r="H94" s="303"/>
      <c r="I94" s="304" t="s">
        <v>312</v>
      </c>
      <c r="J94" s="303"/>
      <c r="K94" s="302" t="s">
        <v>313</v>
      </c>
      <c r="L94" s="303"/>
      <c r="M94" s="436" t="s">
        <v>314</v>
      </c>
      <c r="N94" s="437"/>
      <c r="O94" s="6"/>
    </row>
    <row r="95" spans="2:15">
      <c r="B95" s="5"/>
      <c r="C95" s="183">
        <v>2007</v>
      </c>
      <c r="D95" s="151"/>
      <c r="E95" s="151"/>
      <c r="F95" s="151"/>
      <c r="G95" s="414">
        <v>0</v>
      </c>
      <c r="H95" s="415"/>
      <c r="I95" s="431">
        <f>G95/$G$111</f>
        <v>0</v>
      </c>
      <c r="J95" s="417"/>
      <c r="K95" s="414">
        <v>0</v>
      </c>
      <c r="L95" s="432"/>
      <c r="M95" s="418">
        <f>K95/$K$111</f>
        <v>0</v>
      </c>
      <c r="N95" s="419"/>
      <c r="O95" s="6"/>
    </row>
    <row r="96" spans="2:15">
      <c r="B96" s="5"/>
      <c r="C96" s="183">
        <v>2008</v>
      </c>
      <c r="D96" s="151"/>
      <c r="E96" s="151"/>
      <c r="F96" s="151"/>
      <c r="G96" s="414">
        <v>0</v>
      </c>
      <c r="H96" s="415"/>
      <c r="I96" s="431">
        <f t="shared" ref="I96:I110" si="4">G96/$G$111</f>
        <v>0</v>
      </c>
      <c r="J96" s="417"/>
      <c r="K96" s="414">
        <v>0</v>
      </c>
      <c r="L96" s="432"/>
      <c r="M96" s="416">
        <f t="shared" ref="M96:M110" si="5">K96/$K$111</f>
        <v>0</v>
      </c>
      <c r="N96" s="417"/>
      <c r="O96" s="6"/>
    </row>
    <row r="97" spans="2:15">
      <c r="B97" s="5"/>
      <c r="C97" s="183">
        <v>2009</v>
      </c>
      <c r="D97" s="151"/>
      <c r="E97" s="151"/>
      <c r="F97" s="151"/>
      <c r="G97" s="414">
        <v>0</v>
      </c>
      <c r="H97" s="415"/>
      <c r="I97" s="431">
        <f t="shared" si="4"/>
        <v>0</v>
      </c>
      <c r="J97" s="417"/>
      <c r="K97" s="414">
        <v>0</v>
      </c>
      <c r="L97" s="432"/>
      <c r="M97" s="416">
        <f t="shared" si="5"/>
        <v>0</v>
      </c>
      <c r="N97" s="417"/>
      <c r="O97" s="6"/>
    </row>
    <row r="98" spans="2:15">
      <c r="B98" s="5"/>
      <c r="C98" s="183">
        <v>2010</v>
      </c>
      <c r="D98" s="151"/>
      <c r="E98" s="151"/>
      <c r="F98" s="151"/>
      <c r="G98" s="414">
        <v>736091.36</v>
      </c>
      <c r="H98" s="415"/>
      <c r="I98" s="431">
        <f t="shared" si="4"/>
        <v>6.7392204690012384E-4</v>
      </c>
      <c r="J98" s="417"/>
      <c r="K98" s="414">
        <v>1</v>
      </c>
      <c r="L98" s="432"/>
      <c r="M98" s="416">
        <f t="shared" si="5"/>
        <v>5.7471264367816091E-3</v>
      </c>
      <c r="N98" s="417"/>
      <c r="O98" s="6"/>
    </row>
    <row r="99" spans="2:15">
      <c r="B99" s="5"/>
      <c r="C99" s="183">
        <v>2011</v>
      </c>
      <c r="D99" s="151"/>
      <c r="E99" s="151"/>
      <c r="F99" s="151"/>
      <c r="G99" s="414">
        <v>3538060.0999999996</v>
      </c>
      <c r="H99" s="415"/>
      <c r="I99" s="431">
        <f t="shared" si="4"/>
        <v>3.2392401734584369E-3</v>
      </c>
      <c r="J99" s="417"/>
      <c r="K99" s="414">
        <v>2</v>
      </c>
      <c r="L99" s="432"/>
      <c r="M99" s="416">
        <f t="shared" si="5"/>
        <v>1.1494252873563218E-2</v>
      </c>
      <c r="N99" s="417"/>
      <c r="O99" s="6"/>
    </row>
    <row r="100" spans="2:15">
      <c r="B100" s="5"/>
      <c r="C100" s="183">
        <v>2012</v>
      </c>
      <c r="D100" s="151"/>
      <c r="E100" s="151"/>
      <c r="F100" s="151"/>
      <c r="G100" s="414">
        <v>3298490.54</v>
      </c>
      <c r="H100" s="415"/>
      <c r="I100" s="431">
        <f t="shared" si="4"/>
        <v>3.0199043450224641E-3</v>
      </c>
      <c r="J100" s="417"/>
      <c r="K100" s="414">
        <v>2</v>
      </c>
      <c r="L100" s="432"/>
      <c r="M100" s="416">
        <f t="shared" si="5"/>
        <v>1.1494252873563218E-2</v>
      </c>
      <c r="N100" s="417"/>
      <c r="O100" s="6"/>
    </row>
    <row r="101" spans="2:15">
      <c r="B101" s="5"/>
      <c r="C101" s="183">
        <v>2013</v>
      </c>
      <c r="D101" s="151"/>
      <c r="E101" s="151"/>
      <c r="F101" s="151"/>
      <c r="G101" s="414">
        <v>11896519.4</v>
      </c>
      <c r="H101" s="415"/>
      <c r="I101" s="431">
        <f t="shared" si="4"/>
        <v>1.0891754937912916E-2</v>
      </c>
      <c r="J101" s="417"/>
      <c r="K101" s="414">
        <v>4</v>
      </c>
      <c r="L101" s="432"/>
      <c r="M101" s="416">
        <f t="shared" si="5"/>
        <v>2.2988505747126436E-2</v>
      </c>
      <c r="N101" s="417"/>
      <c r="O101" s="6"/>
    </row>
    <row r="102" spans="2:15">
      <c r="B102" s="5"/>
      <c r="C102" s="183">
        <v>2014</v>
      </c>
      <c r="D102" s="151"/>
      <c r="E102" s="151"/>
      <c r="F102" s="151"/>
      <c r="G102" s="414">
        <v>56811437.82</v>
      </c>
      <c r="H102" s="415"/>
      <c r="I102" s="431">
        <f t="shared" si="4"/>
        <v>5.2013218118731226E-2</v>
      </c>
      <c r="J102" s="417"/>
      <c r="K102" s="414">
        <v>2</v>
      </c>
      <c r="L102" s="432"/>
      <c r="M102" s="416">
        <f t="shared" si="5"/>
        <v>1.1494252873563218E-2</v>
      </c>
      <c r="N102" s="417"/>
      <c r="O102" s="6"/>
    </row>
    <row r="103" spans="2:15">
      <c r="B103" s="5"/>
      <c r="C103" s="183">
        <v>2015</v>
      </c>
      <c r="D103" s="151"/>
      <c r="E103" s="151"/>
      <c r="F103" s="151"/>
      <c r="G103" s="414">
        <v>5474332.2899999991</v>
      </c>
      <c r="H103" s="415"/>
      <c r="I103" s="431">
        <f t="shared" si="4"/>
        <v>5.0119773478773631E-3</v>
      </c>
      <c r="J103" s="417"/>
      <c r="K103" s="414">
        <v>6</v>
      </c>
      <c r="L103" s="432"/>
      <c r="M103" s="416">
        <f t="shared" si="5"/>
        <v>3.4482758620689655E-2</v>
      </c>
      <c r="N103" s="417"/>
      <c r="O103" s="6"/>
    </row>
    <row r="104" spans="2:15">
      <c r="B104" s="5"/>
      <c r="C104" s="183">
        <v>2016</v>
      </c>
      <c r="D104" s="151"/>
      <c r="E104" s="151"/>
      <c r="F104" s="151"/>
      <c r="G104" s="414">
        <v>20158020.980500001</v>
      </c>
      <c r="H104" s="415"/>
      <c r="I104" s="431">
        <f t="shared" si="4"/>
        <v>1.845550090498848E-2</v>
      </c>
      <c r="J104" s="417"/>
      <c r="K104" s="414">
        <v>7</v>
      </c>
      <c r="L104" s="432"/>
      <c r="M104" s="416">
        <f t="shared" si="5"/>
        <v>4.0229885057471264E-2</v>
      </c>
      <c r="N104" s="417"/>
      <c r="O104" s="6"/>
    </row>
    <row r="105" spans="2:15">
      <c r="B105" s="5"/>
      <c r="C105" s="183">
        <v>2017</v>
      </c>
      <c r="D105" s="151"/>
      <c r="E105" s="151"/>
      <c r="F105" s="151"/>
      <c r="G105" s="414">
        <v>105584024.7335</v>
      </c>
      <c r="H105" s="415"/>
      <c r="I105" s="431">
        <f t="shared" si="4"/>
        <v>9.6666536159796285E-2</v>
      </c>
      <c r="J105" s="417"/>
      <c r="K105" s="414">
        <v>14</v>
      </c>
      <c r="L105" s="432"/>
      <c r="M105" s="416">
        <f t="shared" si="5"/>
        <v>8.0459770114942528E-2</v>
      </c>
      <c r="N105" s="417"/>
      <c r="O105" s="6"/>
    </row>
    <row r="106" spans="2:15">
      <c r="B106" s="5"/>
      <c r="C106" s="183">
        <v>2018</v>
      </c>
      <c r="D106" s="151"/>
      <c r="E106" s="151"/>
      <c r="F106" s="151"/>
      <c r="G106" s="414">
        <v>139689901.42300001</v>
      </c>
      <c r="H106" s="415"/>
      <c r="I106" s="431">
        <f t="shared" si="4"/>
        <v>0.12789187513118574</v>
      </c>
      <c r="J106" s="417"/>
      <c r="K106" s="414">
        <v>20</v>
      </c>
      <c r="L106" s="432"/>
      <c r="M106" s="416">
        <f t="shared" si="5"/>
        <v>0.11494252873563218</v>
      </c>
      <c r="N106" s="417"/>
      <c r="O106" s="6"/>
    </row>
    <row r="107" spans="2:15">
      <c r="B107" s="5"/>
      <c r="C107" s="183">
        <v>2019</v>
      </c>
      <c r="D107" s="151"/>
      <c r="E107" s="151"/>
      <c r="F107" s="151"/>
      <c r="G107" s="414">
        <v>231971711.23349997</v>
      </c>
      <c r="H107" s="415"/>
      <c r="I107" s="431">
        <f t="shared" si="4"/>
        <v>0.2123796840346078</v>
      </c>
      <c r="J107" s="417"/>
      <c r="K107" s="414">
        <v>41</v>
      </c>
      <c r="L107" s="432"/>
      <c r="M107" s="416">
        <f t="shared" si="5"/>
        <v>0.23563218390804597</v>
      </c>
      <c r="N107" s="417"/>
      <c r="O107" s="6"/>
    </row>
    <row r="108" spans="2:15">
      <c r="B108" s="5"/>
      <c r="C108" s="183">
        <v>2020</v>
      </c>
      <c r="D108" s="151"/>
      <c r="E108" s="151"/>
      <c r="F108" s="151"/>
      <c r="G108" s="414">
        <v>304418432.87000006</v>
      </c>
      <c r="H108" s="415"/>
      <c r="I108" s="431">
        <f t="shared" si="4"/>
        <v>0.27870765035725781</v>
      </c>
      <c r="J108" s="417"/>
      <c r="K108" s="414">
        <v>40</v>
      </c>
      <c r="L108" s="432"/>
      <c r="M108" s="416">
        <f t="shared" si="5"/>
        <v>0.22988505747126436</v>
      </c>
      <c r="N108" s="417"/>
      <c r="O108" s="6"/>
    </row>
    <row r="109" spans="2:15">
      <c r="B109" s="5"/>
      <c r="C109" s="183">
        <v>2021</v>
      </c>
      <c r="D109" s="151"/>
      <c r="E109" s="151"/>
      <c r="F109" s="151"/>
      <c r="G109" s="414">
        <v>143924519.43049997</v>
      </c>
      <c r="H109" s="415"/>
      <c r="I109" s="431">
        <f t="shared" si="4"/>
        <v>0.13176884284271342</v>
      </c>
      <c r="J109" s="417"/>
      <c r="K109" s="414">
        <v>35</v>
      </c>
      <c r="L109" s="432"/>
      <c r="M109" s="416">
        <f t="shared" si="5"/>
        <v>0.20114942528735633</v>
      </c>
      <c r="N109" s="417"/>
      <c r="O109" s="6"/>
    </row>
    <row r="110" spans="2:15">
      <c r="B110" s="5"/>
      <c r="C110" s="183">
        <v>2022</v>
      </c>
      <c r="D110" s="151"/>
      <c r="E110" s="151"/>
      <c r="F110" s="151"/>
      <c r="G110" s="420">
        <v>64748464.160000004</v>
      </c>
      <c r="H110" s="421"/>
      <c r="I110" s="431">
        <f t="shared" si="4"/>
        <v>5.9279893599547898E-2</v>
      </c>
      <c r="J110" s="417"/>
      <c r="K110" s="414">
        <v>5</v>
      </c>
      <c r="L110" s="432"/>
      <c r="M110" s="429">
        <f t="shared" si="5"/>
        <v>2.8735632183908046E-2</v>
      </c>
      <c r="N110" s="430"/>
      <c r="O110" s="6"/>
    </row>
    <row r="111" spans="2:15">
      <c r="B111" s="5"/>
      <c r="C111" s="182" t="s">
        <v>320</v>
      </c>
      <c r="D111" s="170"/>
      <c r="E111" s="170"/>
      <c r="F111" s="170"/>
      <c r="G111" s="438">
        <f>SUM(G95:H110)</f>
        <v>1092250006.3410001</v>
      </c>
      <c r="H111" s="439"/>
      <c r="I111" s="428">
        <f>SUM(I95:J110)</f>
        <v>1</v>
      </c>
      <c r="J111" s="427"/>
      <c r="K111" s="426">
        <f>SUM(K95:L109)</f>
        <v>174</v>
      </c>
      <c r="L111" s="427"/>
      <c r="M111" s="428">
        <f>SUM(M95:N109)</f>
        <v>1</v>
      </c>
      <c r="N111" s="427"/>
      <c r="O111" s="6"/>
    </row>
    <row r="112" spans="2:15">
      <c r="B112" s="5"/>
      <c r="C112" s="7"/>
      <c r="D112" s="7"/>
      <c r="E112" s="7"/>
      <c r="F112" s="7"/>
      <c r="G112" s="7"/>
      <c r="H112" s="7"/>
      <c r="I112" s="7"/>
      <c r="J112" s="7"/>
      <c r="K112" s="7"/>
      <c r="L112" s="7"/>
      <c r="M112" s="7"/>
      <c r="N112" s="7"/>
      <c r="O112" s="6"/>
    </row>
    <row r="113" spans="2:15">
      <c r="B113" s="5"/>
      <c r="C113" s="182" t="s">
        <v>328</v>
      </c>
      <c r="D113" s="170"/>
      <c r="E113" s="170"/>
      <c r="F113" s="170"/>
      <c r="G113" s="302" t="s">
        <v>311</v>
      </c>
      <c r="H113" s="303"/>
      <c r="I113" s="302" t="s">
        <v>312</v>
      </c>
      <c r="J113" s="303"/>
      <c r="K113" s="302" t="s">
        <v>313</v>
      </c>
      <c r="L113" s="303"/>
      <c r="M113" s="304" t="s">
        <v>314</v>
      </c>
      <c r="N113" s="303"/>
      <c r="O113" s="6"/>
    </row>
    <row r="114" spans="2:15">
      <c r="B114" s="5"/>
      <c r="C114" s="183" t="s">
        <v>329</v>
      </c>
      <c r="D114" s="151"/>
      <c r="E114" s="151"/>
      <c r="F114" s="151"/>
      <c r="G114" s="442">
        <v>0</v>
      </c>
      <c r="H114" s="443"/>
      <c r="I114" s="431">
        <f>G114/$G$120</f>
        <v>0</v>
      </c>
      <c r="J114" s="417"/>
      <c r="K114" s="440">
        <v>0</v>
      </c>
      <c r="L114" s="441"/>
      <c r="M114" s="418">
        <f>K114/$K$120</f>
        <v>0</v>
      </c>
      <c r="N114" s="419"/>
      <c r="O114" s="6"/>
    </row>
    <row r="115" spans="2:15">
      <c r="B115" s="5"/>
      <c r="C115" s="183" t="s">
        <v>330</v>
      </c>
      <c r="D115" s="151"/>
      <c r="E115" s="151"/>
      <c r="F115" s="151"/>
      <c r="G115" s="414">
        <v>49767759.299999997</v>
      </c>
      <c r="H115" s="415"/>
      <c r="I115" s="431">
        <f t="shared" ref="I115:I119" si="6">G115/$G$120</f>
        <v>4.5564439469971053E-2</v>
      </c>
      <c r="J115" s="417"/>
      <c r="K115" s="414">
        <v>2</v>
      </c>
      <c r="L115" s="415"/>
      <c r="M115" s="416">
        <f t="shared" ref="M115:M119" si="7">K115/$K$120</f>
        <v>1.11731843575419E-2</v>
      </c>
      <c r="N115" s="417"/>
      <c r="O115" s="6"/>
    </row>
    <row r="116" spans="2:15">
      <c r="B116" s="5"/>
      <c r="C116" s="183" t="s">
        <v>331</v>
      </c>
      <c r="D116" s="151"/>
      <c r="E116" s="151"/>
      <c r="F116" s="151"/>
      <c r="G116" s="414">
        <v>422900150.22299999</v>
      </c>
      <c r="H116" s="415"/>
      <c r="I116" s="431">
        <f t="shared" si="6"/>
        <v>0.38718255689436976</v>
      </c>
      <c r="J116" s="417"/>
      <c r="K116" s="440">
        <v>39</v>
      </c>
      <c r="L116" s="441"/>
      <c r="M116" s="416">
        <f t="shared" si="7"/>
        <v>0.21787709497206703</v>
      </c>
      <c r="N116" s="417"/>
      <c r="O116" s="6"/>
    </row>
    <row r="117" spans="2:15">
      <c r="B117" s="5"/>
      <c r="C117" s="183" t="s">
        <v>332</v>
      </c>
      <c r="D117" s="151"/>
      <c r="E117" s="151"/>
      <c r="F117" s="151"/>
      <c r="G117" s="414">
        <v>472084882.51499999</v>
      </c>
      <c r="H117" s="415"/>
      <c r="I117" s="431">
        <f t="shared" si="6"/>
        <v>0.4322132110545534</v>
      </c>
      <c r="J117" s="417"/>
      <c r="K117" s="440">
        <v>101</v>
      </c>
      <c r="L117" s="441"/>
      <c r="M117" s="416">
        <f t="shared" si="7"/>
        <v>0.56424581005586594</v>
      </c>
      <c r="N117" s="417"/>
      <c r="O117" s="6"/>
    </row>
    <row r="118" spans="2:15">
      <c r="B118" s="5"/>
      <c r="C118" s="183" t="s">
        <v>333</v>
      </c>
      <c r="D118" s="151"/>
      <c r="E118" s="151"/>
      <c r="F118" s="151"/>
      <c r="G118" s="414">
        <v>120081616.6190002</v>
      </c>
      <c r="H118" s="415"/>
      <c r="I118" s="431">
        <f t="shared" si="6"/>
        <v>0.10993968040455269</v>
      </c>
      <c r="J118" s="417"/>
      <c r="K118" s="440">
        <v>32</v>
      </c>
      <c r="L118" s="441"/>
      <c r="M118" s="416">
        <f t="shared" si="7"/>
        <v>0.1787709497206704</v>
      </c>
      <c r="N118" s="417"/>
      <c r="O118" s="6"/>
    </row>
    <row r="119" spans="2:15">
      <c r="B119" s="5"/>
      <c r="C119" s="183" t="s">
        <v>334</v>
      </c>
      <c r="D119" s="151"/>
      <c r="E119" s="151"/>
      <c r="F119" s="151"/>
      <c r="G119" s="414">
        <v>27415597.683999896</v>
      </c>
      <c r="H119" s="415"/>
      <c r="I119" s="448">
        <f t="shared" si="6"/>
        <v>2.5100112176553061E-2</v>
      </c>
      <c r="J119" s="430"/>
      <c r="K119" s="440">
        <v>5</v>
      </c>
      <c r="L119" s="441"/>
      <c r="M119" s="429">
        <f t="shared" si="7"/>
        <v>2.7932960893854747E-2</v>
      </c>
      <c r="N119" s="430"/>
      <c r="O119" s="6"/>
    </row>
    <row r="120" spans="2:15">
      <c r="B120" s="5"/>
      <c r="C120" s="182" t="s">
        <v>320</v>
      </c>
      <c r="D120" s="170"/>
      <c r="E120" s="170"/>
      <c r="F120" s="170"/>
      <c r="G120" s="434">
        <f>SUM(G114:H119)</f>
        <v>1092250006.3410001</v>
      </c>
      <c r="H120" s="435"/>
      <c r="I120" s="428">
        <f>SUM(I114:J119)</f>
        <v>1</v>
      </c>
      <c r="J120" s="427"/>
      <c r="K120" s="444">
        <f>SUM(K114:L119)</f>
        <v>179</v>
      </c>
      <c r="L120" s="445"/>
      <c r="M120" s="446">
        <f>SUM(M114:N119)</f>
        <v>1</v>
      </c>
      <c r="N120" s="447"/>
      <c r="O120" s="6"/>
    </row>
    <row r="121" spans="2:15" ht="15" thickBot="1">
      <c r="B121" s="140"/>
      <c r="C121" s="141"/>
      <c r="D121" s="141"/>
      <c r="E121" s="141"/>
      <c r="F121" s="141"/>
      <c r="G121" s="141"/>
      <c r="H121" s="141"/>
      <c r="I121" s="141"/>
      <c r="J121" s="141"/>
      <c r="K121" s="141"/>
      <c r="L121" s="141"/>
      <c r="M121" s="141"/>
      <c r="N121" s="141"/>
      <c r="O121" s="87"/>
    </row>
  </sheetData>
  <mergeCells count="263">
    <mergeCell ref="G120:H120"/>
    <mergeCell ref="I120:J120"/>
    <mergeCell ref="K120:L120"/>
    <mergeCell ref="M120:N120"/>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14:H114"/>
    <mergeCell ref="I114:J114"/>
    <mergeCell ref="K114:L114"/>
    <mergeCell ref="M114:N114"/>
    <mergeCell ref="G115:H115"/>
    <mergeCell ref="I115:J115"/>
    <mergeCell ref="K115:L115"/>
    <mergeCell ref="M115:N115"/>
    <mergeCell ref="G111:H111"/>
    <mergeCell ref="I111:J111"/>
    <mergeCell ref="K111:L111"/>
    <mergeCell ref="M111:N111"/>
    <mergeCell ref="G113:H113"/>
    <mergeCell ref="I113:J113"/>
    <mergeCell ref="K113:L113"/>
    <mergeCell ref="M113:N113"/>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F71:H71"/>
    <mergeCell ref="I71:K71"/>
    <mergeCell ref="L71:N71"/>
    <mergeCell ref="F72:H72"/>
    <mergeCell ref="I72:K72"/>
    <mergeCell ref="L72:N72"/>
    <mergeCell ref="F69:H69"/>
    <mergeCell ref="I69:K69"/>
    <mergeCell ref="L69:N69"/>
    <mergeCell ref="F70:H70"/>
    <mergeCell ref="I70:K70"/>
    <mergeCell ref="L70:N70"/>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I56:J56"/>
    <mergeCell ref="L56:M56"/>
    <mergeCell ref="I57:J57"/>
    <mergeCell ref="L57:M57"/>
    <mergeCell ref="I58:K58"/>
    <mergeCell ref="L58:N58"/>
    <mergeCell ref="I53:K53"/>
    <mergeCell ref="L53:N53"/>
    <mergeCell ref="I54:K54"/>
    <mergeCell ref="L54:N54"/>
    <mergeCell ref="I55:J55"/>
    <mergeCell ref="L55:M55"/>
    <mergeCell ref="J47:M47"/>
    <mergeCell ref="C48:N48"/>
    <mergeCell ref="J49:N49"/>
    <mergeCell ref="C51:N51"/>
    <mergeCell ref="I52:K52"/>
    <mergeCell ref="L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 ref="C17:E18"/>
    <mergeCell ref="J17:N17"/>
    <mergeCell ref="J18:N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6" ma:contentTypeDescription="Create a new document." ma:contentTypeScope="" ma:versionID="0b1401607088dd2e4c43b6d7ad9cb31f">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3231b2d7a4438a535ae1dab591ecbea2"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23A451-C624-48B3-9C42-F931F8899C69}">
  <ds:schemaRefs>
    <ds:schemaRef ds:uri="http://schemas.microsoft.com/sharepoint/v3/contenttype/forms"/>
  </ds:schemaRefs>
</ds:datastoreItem>
</file>

<file path=customXml/itemProps2.xml><?xml version="1.0" encoding="utf-8"?>
<ds:datastoreItem xmlns:ds="http://schemas.openxmlformats.org/officeDocument/2006/customXml" ds:itemID="{B1EFD991-B431-489B-82F0-2EA73413898D}">
  <ds:schemaRefs>
    <ds:schemaRef ds:uri="http://schemas.microsoft.com/office/2006/metadata/properties"/>
    <ds:schemaRef ds:uri="http://schemas.microsoft.com/office/infopath/2007/PartnerControls"/>
    <ds:schemaRef ds:uri="a23105ca-3395-4058-8284-88e334f7b956"/>
    <ds:schemaRef ds:uri="18709e2e-4da8-42d3-bf03-d1d83e4744e5"/>
  </ds:schemaRefs>
</ds:datastoreItem>
</file>

<file path=customXml/itemProps3.xml><?xml version="1.0" encoding="utf-8"?>
<ds:datastoreItem xmlns:ds="http://schemas.openxmlformats.org/officeDocument/2006/customXml" ds:itemID="{B1C9397F-A66D-439F-A12E-CA52BE493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Tebogo Moseamedi</cp:lastModifiedBy>
  <dcterms:created xsi:type="dcterms:W3CDTF">2022-05-16T14:20:00Z</dcterms:created>
  <dcterms:modified xsi:type="dcterms:W3CDTF">2022-05-16T14:35:25Z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ies>
</file>