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Tebogo\AppData\Local\Microsoft\Windows\INetCache\Content.Outlook\IVA455KQ\"/>
    </mc:Choice>
  </mc:AlternateContent>
  <xr:revisionPtr revIDLastSave="0" documentId="13_ncr:1_{4286B269-07F2-467E-9F27-CC3F1920D0B7}" xr6:coauthVersionLast="47" xr6:coauthVersionMax="47" xr10:uidLastSave="{00000000-0000-0000-0000-000000000000}"/>
  <bookViews>
    <workbookView xWindow="28680" yWindow="-120" windowWidth="29040" windowHeight="15720" xr2:uid="{E743C52C-6CEF-4515-8EC9-769996025680}"/>
  </bookViews>
  <sheets>
    <sheet name="Admin Report" sheetId="1" r:id="rId1"/>
    <sheet name="Servicer Report" sheetId="2" r:id="rId2"/>
  </sheets>
  <definedNames>
    <definedName name="_Fill" hidden="1">#REF!</definedName>
    <definedName name="_Parse_In" hidden="1">#REF!</definedName>
    <definedName name="_Parse_Out" hidden="1">#REF!</definedName>
    <definedName name="a" hidden="1">{#N/A,#N/A,FALSE,"Glossary"}</definedName>
    <definedName name="adfads" hidden="1">{#N/A,#N/A,FALSE,"Glossary"}</definedName>
    <definedName name="cube" hidden="1">{#N/A,#N/A,FALSE,"Glossary"}</definedName>
    <definedName name="Data">#REF!</definedName>
    <definedName name="Datatape">#REF!</definedName>
    <definedName name="deletename" hidden="1">#REF!</definedName>
    <definedName name="deletename1" hidden="1">#REF!</definedName>
    <definedName name="ff" hidden="1">#REF!</definedName>
    <definedName name="Recon2" hidden="1">#REF!</definedName>
    <definedName name="wrn.Report1." hidden="1">{#N/A,#N/A,FALSE,"Glossary"}</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1" l="1"/>
  <c r="I58" i="2"/>
  <c r="I54" i="2"/>
  <c r="L54" i="2"/>
  <c r="P77" i="1"/>
  <c r="J45" i="2"/>
  <c r="Q67" i="1"/>
  <c r="P103" i="1" s="1"/>
  <c r="J33" i="2"/>
  <c r="J29" i="2"/>
  <c r="P88" i="1"/>
  <c r="P86" i="1" s="1"/>
  <c r="P83" i="1" s="1"/>
  <c r="J12" i="2"/>
  <c r="J8" i="2"/>
  <c r="O219" i="1"/>
  <c r="O211" i="1"/>
  <c r="M211" i="1"/>
  <c r="Q209" i="1"/>
  <c r="M207" i="1"/>
  <c r="O204" i="1"/>
  <c r="O201" i="1"/>
  <c r="O193" i="1"/>
  <c r="O195" i="1" s="1"/>
  <c r="P99" i="1" s="1"/>
  <c r="O191" i="1"/>
  <c r="Q186" i="1"/>
  <c r="Q185" i="1"/>
  <c r="Q184" i="1"/>
  <c r="Q183" i="1"/>
  <c r="Q180" i="1"/>
  <c r="Q179" i="1"/>
  <c r="Q178" i="1"/>
  <c r="Q177" i="1"/>
  <c r="Q176" i="1"/>
  <c r="K176" i="1"/>
  <c r="Q175" i="1"/>
  <c r="Q174" i="1"/>
  <c r="Q173" i="1"/>
  <c r="Q172" i="1"/>
  <c r="Q171" i="1"/>
  <c r="K171" i="1"/>
  <c r="Q170" i="1"/>
  <c r="Q168" i="1"/>
  <c r="Q167" i="1"/>
  <c r="Q166" i="1"/>
  <c r="Q165" i="1"/>
  <c r="Q160" i="1"/>
  <c r="Q159" i="1"/>
  <c r="Q158" i="1"/>
  <c r="Q151" i="1"/>
  <c r="Q150" i="1"/>
  <c r="Q149" i="1"/>
  <c r="Q148" i="1"/>
  <c r="K148" i="1"/>
  <c r="Q147" i="1"/>
  <c r="Q145" i="1"/>
  <c r="Q143" i="1" s="1"/>
  <c r="Q144" i="1"/>
  <c r="K143" i="1"/>
  <c r="Q142" i="1"/>
  <c r="Q141" i="1"/>
  <c r="Q140" i="1" s="1"/>
  <c r="K140" i="1"/>
  <c r="Q139" i="1"/>
  <c r="P106" i="1"/>
  <c r="P90" i="1"/>
  <c r="P87" i="1"/>
  <c r="P79" i="1"/>
  <c r="Q78" i="1"/>
  <c r="P76" i="1"/>
  <c r="Q75" i="1"/>
  <c r="Q72" i="1"/>
  <c r="Q69" i="1"/>
  <c r="Q68" i="1"/>
  <c r="P63" i="1"/>
  <c r="P60" i="1"/>
  <c r="P56" i="1"/>
  <c r="P55" i="1" s="1"/>
  <c r="P49" i="1"/>
  <c r="M49" i="1"/>
  <c r="L49" i="1"/>
  <c r="I49" i="1"/>
  <c r="R49" i="1"/>
  <c r="K49" i="1"/>
  <c r="J49" i="1"/>
  <c r="H49" i="1"/>
  <c r="G49" i="1"/>
  <c r="M47" i="1"/>
  <c r="G47" i="1"/>
  <c r="I46" i="1"/>
  <c r="H46" i="1"/>
  <c r="H47" i="1" s="1"/>
  <c r="P40" i="1"/>
  <c r="O40" i="1"/>
  <c r="N40" i="1"/>
  <c r="L40" i="1"/>
  <c r="M40" i="1"/>
  <c r="O32" i="1"/>
  <c r="M32" i="1"/>
  <c r="G32" i="1"/>
  <c r="K32" i="1"/>
  <c r="J32" i="1"/>
  <c r="I32" i="1"/>
  <c r="R30" i="1"/>
  <c r="P30" i="1"/>
  <c r="N30" i="1"/>
  <c r="N36" i="1" s="1"/>
  <c r="I30" i="1"/>
  <c r="H30" i="1"/>
  <c r="G30" i="1"/>
  <c r="R29" i="1"/>
  <c r="Q29" i="1"/>
  <c r="Q30" i="1" s="1"/>
  <c r="Q36" i="1" s="1"/>
  <c r="P29" i="1"/>
  <c r="O29" i="1"/>
  <c r="O30" i="1" s="1"/>
  <c r="O36" i="1" s="1"/>
  <c r="N29" i="1"/>
  <c r="L29" i="1"/>
  <c r="L30" i="1" s="1"/>
  <c r="K29" i="1"/>
  <c r="K30" i="1" s="1"/>
  <c r="J29" i="1"/>
  <c r="J30" i="1" s="1"/>
  <c r="I29" i="1"/>
  <c r="H29" i="1"/>
  <c r="G29" i="1"/>
  <c r="M209" i="1" s="1"/>
  <c r="O215" i="1" s="1"/>
  <c r="R28" i="1"/>
  <c r="P28" i="1"/>
  <c r="O28" i="1"/>
  <c r="N28" i="1"/>
  <c r="M28" i="1"/>
  <c r="L28" i="1"/>
  <c r="K28" i="1"/>
  <c r="J28" i="1"/>
  <c r="I28" i="1"/>
  <c r="H28" i="1"/>
  <c r="G28" i="1"/>
  <c r="J16" i="1"/>
  <c r="J15" i="1"/>
  <c r="J14" i="1"/>
  <c r="K209" i="1" s="1"/>
  <c r="J11" i="1"/>
  <c r="J12" i="1" s="1"/>
  <c r="J10" i="1"/>
  <c r="J9" i="1"/>
  <c r="J8" i="1" s="1"/>
  <c r="K156" i="1" l="1"/>
  <c r="Q156" i="1" s="1"/>
  <c r="N37" i="1"/>
  <c r="N38" i="1"/>
  <c r="O37" i="1"/>
  <c r="O38" i="1"/>
  <c r="K182" i="1"/>
  <c r="H34" i="1"/>
  <c r="I34" i="1"/>
  <c r="G34" i="1"/>
  <c r="Q37" i="1"/>
  <c r="Q38" i="1"/>
  <c r="J36" i="1"/>
  <c r="R36" i="1"/>
  <c r="I47" i="1"/>
  <c r="J46" i="1"/>
  <c r="Q32" i="1"/>
  <c r="K36" i="1"/>
  <c r="K40" i="1"/>
  <c r="G36" i="1"/>
  <c r="L58" i="2"/>
  <c r="M87" i="2"/>
  <c r="M91" i="2"/>
  <c r="M110" i="2"/>
  <c r="H36" i="1"/>
  <c r="P96" i="1"/>
  <c r="P32" i="1"/>
  <c r="L36" i="1"/>
  <c r="I36" i="1"/>
  <c r="I103" i="2"/>
  <c r="K84" i="2"/>
  <c r="M79" i="2" s="1"/>
  <c r="M84" i="2" s="1"/>
  <c r="M99" i="2"/>
  <c r="M103" i="2"/>
  <c r="M107" i="2"/>
  <c r="O210" i="1"/>
  <c r="Q210" i="1" s="1"/>
  <c r="O214" i="1" s="1"/>
  <c r="Q211" i="1"/>
  <c r="J18" i="1"/>
  <c r="J40" i="1"/>
  <c r="M80" i="2"/>
  <c r="M36" i="1"/>
  <c r="P97" i="1"/>
  <c r="L32" i="1"/>
  <c r="J17" i="1"/>
  <c r="R32" i="1"/>
  <c r="H32" i="1"/>
  <c r="L34" i="1"/>
  <c r="K169" i="1"/>
  <c r="Q169" i="1" s="1"/>
  <c r="J38" i="2"/>
  <c r="M81" i="2"/>
  <c r="M89" i="2"/>
  <c r="M96" i="2"/>
  <c r="M108" i="2"/>
  <c r="M82" i="2"/>
  <c r="I105" i="2"/>
  <c r="M119" i="2"/>
  <c r="P36" i="1"/>
  <c r="N32" i="1"/>
  <c r="P66" i="1"/>
  <c r="K146" i="1"/>
  <c r="P98" i="1"/>
  <c r="K161" i="1"/>
  <c r="Q161" i="1" s="1"/>
  <c r="J26" i="2"/>
  <c r="M83" i="2"/>
  <c r="M101" i="2"/>
  <c r="M105" i="2"/>
  <c r="M109" i="2"/>
  <c r="Q146" i="1"/>
  <c r="I53" i="2"/>
  <c r="I91" i="2"/>
  <c r="G92" i="2"/>
  <c r="I89" i="2" s="1"/>
  <c r="G112" i="2"/>
  <c r="I99" i="2" s="1"/>
  <c r="L63" i="2"/>
  <c r="L53" i="2" s="1"/>
  <c r="K92" i="2"/>
  <c r="M90" i="2" s="1"/>
  <c r="K112" i="2"/>
  <c r="M102" i="2" s="1"/>
  <c r="G121" i="2"/>
  <c r="I117" i="2" s="1"/>
  <c r="K121" i="2"/>
  <c r="M115" i="2" s="1"/>
  <c r="I107" i="2" l="1"/>
  <c r="P95" i="1"/>
  <c r="M98" i="2"/>
  <c r="G37" i="1"/>
  <c r="G38" i="1" s="1"/>
  <c r="K153" i="1"/>
  <c r="J38" i="1"/>
  <c r="K154" i="1"/>
  <c r="Q154" i="1" s="1"/>
  <c r="J37" i="1"/>
  <c r="O34" i="1"/>
  <c r="Q182" i="1"/>
  <c r="K181" i="1"/>
  <c r="P37" i="1"/>
  <c r="P38" i="1"/>
  <c r="K157" i="1"/>
  <c r="Q157" i="1" s="1"/>
  <c r="M92" i="2"/>
  <c r="K38" i="1"/>
  <c r="K37" i="1"/>
  <c r="I110" i="2"/>
  <c r="I108" i="2"/>
  <c r="I106" i="2"/>
  <c r="I104" i="2"/>
  <c r="I102" i="2"/>
  <c r="I100" i="2"/>
  <c r="I98" i="2"/>
  <c r="I96" i="2"/>
  <c r="I119" i="2"/>
  <c r="M95" i="2"/>
  <c r="I95" i="2"/>
  <c r="H37" i="1"/>
  <c r="H38" i="1"/>
  <c r="P104" i="1"/>
  <c r="P102" i="1" s="1"/>
  <c r="M120" i="2"/>
  <c r="M118" i="2"/>
  <c r="M116" i="2"/>
  <c r="M121" i="2" s="1"/>
  <c r="I90" i="2"/>
  <c r="I88" i="2"/>
  <c r="I109" i="2"/>
  <c r="I115" i="2"/>
  <c r="I121" i="2" s="1"/>
  <c r="M88" i="2"/>
  <c r="J47" i="1"/>
  <c r="K46" i="1"/>
  <c r="M34" i="1"/>
  <c r="P34" i="1"/>
  <c r="I120" i="2"/>
  <c r="I118" i="2"/>
  <c r="I116" i="2"/>
  <c r="J34" i="1"/>
  <c r="I87" i="2"/>
  <c r="M97" i="2"/>
  <c r="I101" i="2"/>
  <c r="M104" i="2"/>
  <c r="K155" i="1"/>
  <c r="Q155" i="1" s="1"/>
  <c r="M37" i="1"/>
  <c r="M38" i="1" s="1"/>
  <c r="L38" i="1"/>
  <c r="L37" i="1"/>
  <c r="M106" i="2"/>
  <c r="N34" i="1"/>
  <c r="R34" i="1"/>
  <c r="I37" i="1"/>
  <c r="I38" i="1" s="1"/>
  <c r="K34" i="1"/>
  <c r="I97" i="2"/>
  <c r="M100" i="2"/>
  <c r="M111" i="2"/>
  <c r="M117" i="2"/>
  <c r="R38" i="1"/>
  <c r="R37" i="1"/>
  <c r="Q34" i="1"/>
  <c r="N139" i="1" l="1"/>
  <c r="I112" i="2"/>
  <c r="K164" i="1"/>
  <c r="P111" i="1"/>
  <c r="O217" i="1"/>
  <c r="O218" i="1" s="1"/>
  <c r="O221" i="1" s="1"/>
  <c r="Q181" i="1"/>
  <c r="M112" i="2"/>
  <c r="K47" i="1"/>
  <c r="L46" i="1"/>
  <c r="I92" i="2"/>
  <c r="Q153" i="1"/>
  <c r="Q152" i="1" s="1"/>
  <c r="K152" i="1"/>
  <c r="H39" i="1" l="1"/>
  <c r="H40" i="1" s="1"/>
  <c r="G39" i="1"/>
  <c r="G40" i="1" s="1"/>
  <c r="Q164" i="1"/>
  <c r="K163" i="1"/>
  <c r="I39" i="1"/>
  <c r="I40" i="1" s="1"/>
  <c r="M46" i="1"/>
  <c r="N46" i="1" s="1"/>
  <c r="L47" i="1"/>
  <c r="N187" i="1"/>
  <c r="Q187" i="1" s="1"/>
  <c r="N140" i="1"/>
  <c r="O46" i="1" l="1"/>
  <c r="N47" i="1"/>
  <c r="K162" i="1"/>
  <c r="Q163" i="1"/>
  <c r="Q162" i="1" s="1"/>
  <c r="I41" i="1"/>
  <c r="N142" i="1"/>
  <c r="N141" i="1"/>
  <c r="N143" i="1"/>
  <c r="H41" i="1"/>
  <c r="Q41" i="1"/>
  <c r="L41" i="1"/>
  <c r="G41" i="1"/>
  <c r="R41" i="1"/>
  <c r="P41" i="1"/>
  <c r="M41" i="1"/>
  <c r="N41" i="1"/>
  <c r="O41" i="1"/>
  <c r="J41" i="1"/>
  <c r="K41" i="1"/>
  <c r="K187" i="1" l="1"/>
  <c r="R43" i="1"/>
  <c r="J43" i="1"/>
  <c r="Q43" i="1"/>
  <c r="I43" i="1"/>
  <c r="P43" i="1"/>
  <c r="H43" i="1"/>
  <c r="N43" i="1"/>
  <c r="M43" i="1"/>
  <c r="O43" i="1"/>
  <c r="L43" i="1"/>
  <c r="K43" i="1"/>
  <c r="G43" i="1"/>
  <c r="N145" i="1"/>
  <c r="N146" i="1"/>
  <c r="N144" i="1"/>
  <c r="O47" i="1"/>
  <c r="P46" i="1"/>
  <c r="N150" i="1" l="1"/>
  <c r="N151" i="1" s="1"/>
  <c r="N152" i="1" s="1"/>
  <c r="N147" i="1"/>
  <c r="N149" i="1"/>
  <c r="N148" i="1"/>
  <c r="Q46" i="1"/>
  <c r="P47" i="1"/>
  <c r="Q47" i="1" l="1"/>
  <c r="R46" i="1"/>
  <c r="R47" i="1" s="1"/>
  <c r="N156" i="1"/>
  <c r="N157" i="1" s="1"/>
  <c r="N153" i="1"/>
  <c r="N155" i="1"/>
  <c r="N154" i="1"/>
  <c r="N161" i="1" l="1"/>
  <c r="N162" i="1" s="1"/>
  <c r="N158" i="1"/>
  <c r="N159" i="1" s="1"/>
  <c r="P112" i="1" l="1"/>
  <c r="P113" i="1" s="1"/>
  <c r="N160" i="1"/>
  <c r="N169" i="1"/>
  <c r="N170" i="1" s="1"/>
  <c r="N171" i="1" s="1"/>
  <c r="N163" i="1"/>
  <c r="N165" i="1"/>
  <c r="N167" i="1"/>
  <c r="N164" i="1"/>
  <c r="N168" i="1"/>
  <c r="N166" i="1"/>
  <c r="N172" i="1" l="1"/>
  <c r="N174" i="1"/>
  <c r="N175" i="1" s="1"/>
  <c r="N176" i="1" s="1"/>
  <c r="N173" i="1"/>
  <c r="N178" i="1" l="1"/>
  <c r="N179" i="1" s="1"/>
  <c r="N180" i="1" s="1"/>
  <c r="N181" i="1" s="1"/>
  <c r="N177" i="1"/>
  <c r="N186" i="1" l="1"/>
  <c r="N185" i="1"/>
  <c r="N182" i="1"/>
  <c r="N183" i="1" s="1"/>
  <c r="N184" i="1"/>
  <c r="G84" i="2" l="1"/>
  <c r="I81" i="2" l="1"/>
  <c r="I82" i="2"/>
  <c r="I80" i="2"/>
  <c r="I79" i="2"/>
  <c r="I83" i="2"/>
  <c r="I8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tc={C98CEEF8-8C17-4738-BC8E-CA023C03F1E3}</author>
    <author>tc={B6AD5846-C618-4478-8D72-7B66C991BF2A}</author>
    <author>tc={E8C0A8DD-F4B6-4439-8CCF-8CDCC52B729C}</author>
    <author>tc={FF3EF5CE-58FC-467E-9D99-82EF7BF5F978}</author>
    <author>tc={1B09EEAF-3107-4CE6-ABB3-C21B71FD4B30}</author>
    <author>tc={E41414FA-EAC9-4F73-8DEE-4D3BF585B77C}</author>
    <author>tc={60D94422-D102-4B18-B9E4-E86E52BE92EE}</author>
    <author>tc={66C08F15-9157-4409-BDAB-2673D234FD16}</author>
    <author>tc={DFCD18E6-BFDE-4359-8A32-2B961134DAFD}</author>
    <author>tc={D881C49B-2A8E-4457-BF5A-6F83F8D3C09D}</author>
    <author>tc={0CADEC92-E8F0-425F-9D2B-5297DD6AB287}</author>
    <author>tc={5F084312-D20A-476D-9312-12040883B414}</author>
    <author>tc={55D05C03-F230-4F2F-8E50-BA182527051A}</author>
    <author>tc={588A28FF-6816-4AB8-A506-7AC52EF94034}</author>
    <author>tc={C8471E35-5B7B-40F9-AADC-E0095DCEA6B6}</author>
    <author>tc={0CCD5CA1-D754-4CC9-B111-B11369F2F90E}</author>
    <author>tc={44BD72AE-9715-4802-A1A3-74661562451D}</author>
    <author>tc={E43D550B-EF69-4AA8-8DDD-0D07F61B69C8}</author>
    <author>tc={293BCC63-00E4-46C7-B674-AE4DACFD0B23}</author>
    <author>tc={81E5C7C3-4B6E-4E0D-95F0-602D513991DC}</author>
    <author>tc={E16A1E1B-8AE5-492E-BB44-FA4963E5BAC9}</author>
    <author>tc={4349365A-77A8-43D2-A646-6FE5EC28ABC7}</author>
    <author>tc={D35C6CDB-2082-42DE-B860-D3F589AB0B06}</author>
    <author>tc={D6658421-D406-4831-9BAF-2179FBE7F0FA}</author>
    <author>tc={C7213D74-29F2-49F5-968F-A6D531D4EF26}</author>
    <author>tc={0BC5D422-91EA-4341-9BD9-8413D8A27CBF}</author>
    <author>tc={ADAFFA5B-5EA0-4076-8E42-0210ECCBC561}</author>
    <author>tc={50915DD3-BA26-4309-BE59-71102141375D}</author>
    <author>tc={86DB5411-2EC1-450B-BCF4-96D34DC7BA6D}</author>
    <author>tc={C1255804-B46C-4BC7-85C8-9F0432C7D85F}</author>
    <author>tc={4E18FD0C-7978-4A88-A1C4-7D34026C337B}</author>
    <author>tc={7D796C43-E186-4324-8880-F7B6A0921AA1}</author>
    <author>tc={D5E24189-6866-4F04-8490-0877F012F975}</author>
    <author>tc={BC42A4E7-7938-4183-9291-6D7854155743}</author>
    <author>tc={5D8099D7-E368-44F9-BFEB-4BA584D05178}</author>
    <author>tc={66205BB9-15D1-4B83-82E2-9381194EC441}</author>
    <author>tc={F7D5FD5A-787E-47E3-960F-C5A3106AA05E}</author>
    <author>tc={4E0D10A4-9E41-478C-9E66-09BA8F4E5E3F}</author>
    <author>tc={0C6F4168-6645-4401-B8C8-3BF6DA5B8D80}</author>
    <author>tc={573A5867-22C9-4FEB-9756-15B570C831E3}</author>
  </authors>
  <commentList>
    <comment ref="C8" authorId="0" shapeId="0" xr:uid="{C98CEEF8-8C17-4738-BC8E-CA023C03F1E3}">
      <text>
        <t>[Threaded comment]
Your version of Excel allows you to read this threaded comment; however, any edits to it will get removed if the file is opened in a newer version of Excel. Learn more: https://go.microsoft.com/fwlink/?linkid=870924
Comment:
    1.141.13	Administrator Report Date means the fifteenth twelfth day after each Determination Date, or if any such day is not a Business Day, then the immediately succeeding day that is a Business Day;</t>
      </text>
    </comment>
    <comment ref="C9" authorId="1" shapeId="0" xr:uid="{B6AD5846-C618-4478-8D72-7B66C991BF2A}">
      <text>
        <t>[Threaded comment]
Your version of Excel allows you to read this threaded comment; however, any edits to it will get removed if the file is opened in a newer version of Excel. Learn more: https://go.microsoft.com/fwlink/?linkid=870924
Comment:
    1.1021.100	Determination Date means the last Business Day of [December, March, June and September], save for the first Determination Date which will be the date specified in the APS;</t>
      </text>
    </comment>
    <comment ref="C12" authorId="2" shapeId="0" xr:uid="{E8C0A8DD-F4B6-4439-8CCF-8CDCC52B729C}">
      <text>
        <t>[Threaded comment]
Your version of Excel allows you to read this threaded comment; however, any edits to it will get removed if the file is opened in a newer version of Excel. Learn more: https://go.microsoft.com/fwlink/?linkid=870924
Comment:
    1.751.73	Collection Period means each period beginning on (and excluding) a Determination Date and ending on (and including) the immediately following Determination Date, provided that the first Collection Period shall begin on (and include) the Initial Issue Date;</t>
      </text>
    </comment>
    <comment ref="C67" authorId="3" shapeId="0" xr:uid="{FF3EF5CE-58FC-467E-9D99-82EF7BF5F978}">
      <text>
        <t>[Threaded comment]
Your version of Excel allows you to read this threaded comment; however, any edits to it will get removed if the file is opened in a newer version of Excel. Learn more: https://go.microsoft.com/fwlink/?linkid=870924
Comment:
    1.2591.251	Repayments means repayments of principal received under a Loan Agreement, being scheduled instalments received, less interest owing during the immediately preceding interest period in terms of the Loan Agreement;</t>
      </text>
    </comment>
    <comment ref="C68" authorId="4" shapeId="0" xr:uid="{1B09EEAF-3107-4CE6-ABB3-C21B71FD4B30}">
      <text>
        <t>[Threaded comment]
Your version of Excel allows you to read this threaded comment; however, any edits to it will get removed if the file is opened in a newer version of Excel. Learn more: https://go.microsoft.com/fwlink/?linkid=870924
Comment:
    1.2201.211	Prepayments means principal repayments received under a Loan Agreement in excess of the minimum Instalments which a Borrower is obliged to pay;</t>
      </text>
    </comment>
    <comment ref="C72" authorId="5" shapeId="0" xr:uid="{E41414FA-EAC9-4F73-8DEE-4D3BF585B77C}">
      <text>
        <t>[Threaded comment]
Your version of Excel allows you to read this threaded comment; however, any edits to it will get removed if the file is opened in a newer version of Excel. Learn more: https://go.microsoft.com/fwlink/?linkid=870924
Comment:
    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
      </text>
    </comment>
    <comment ref="C83" authorId="6" shapeId="0" xr:uid="{60D94422-D102-4B18-B9E4-E86E52BE92EE}">
      <text>
        <t>[Threaded comment]
Your version of Excel allows you to read this threaded comment; however, any edits to it will get removed if the file is opened in a newer version of Excel. Learn more: https://go.microsoft.com/fwlink/?linkid=870924
Comment:
    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
      </text>
    </comment>
    <comment ref="C102" authorId="7" shapeId="0" xr:uid="{66C08F15-9157-4409-BDAB-2673D234FD16}">
      <text>
        <t>[Threaded comment]
Your version of Excel allows you to read this threaded comment; however, any edits to it will get removed if the file is opened in a newer version of Excel. Learn more: https://go.microsoft.com/fwlink/?linkid=870924
Comment:
    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
      </text>
    </comment>
    <comment ref="C113" authorId="8" shapeId="0" xr:uid="{DFCD18E6-BFDE-4359-8A32-2B961134DAFD}">
      <text>
        <t>[Threaded comment]
Your version of Excel allows you to read this threaded comment; however, any edits to it will get removed if the file is opened in a newer version of Excel. Learn more: https://go.microsoft.com/fwlink/?linkid=870924
Comment:
    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
      </text>
    </comment>
    <comment ref="C117" authorId="9" shapeId="0" xr:uid="{D881C49B-2A8E-4457-BF5A-6F83F8D3C09D}">
      <text>
        <t>[Threaded comment]
Your version of Excel allows you to read this threaded comment; however, any edits to it will get removed if the file is opened in a newer version of Excel. Learn more: https://go.microsoft.com/fwlink/?linkid=870924
Comment:
    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
      </text>
    </comment>
    <comment ref="C118" authorId="10" shapeId="0" xr:uid="{0CADEC92-E8F0-425F-9D2B-5297DD6AB287}">
      <text>
        <t>[Threaded comment]
Your version of Excel allows you to read this threaded comment; however, any edits to it will get removed if the file is opened in a newer version of Excel. Learn more: https://go.microsoft.com/fwlink/?linkid=870924
Comment:
    1.681.67	Class C Interest Deferral Event means the first occurrence on which there are Class B Notes outstanding and where there is a Principal Deficiency on the immediately preceding Interest Payment Date after the application of funds in accordance with the Priority of Payments;</t>
      </text>
    </comment>
    <comment ref="C124" authorId="11" shapeId="0" xr:uid="{5F084312-D20A-476D-9312-12040883B414}">
      <text>
        <t>[Threaded comment]
Your version of Excel allows you to read this threaded comment; however, any edits to it will get removed if the file is opened in a newer version of Excel. Learn more: https://go.microsoft.com/fwlink/?linkid=870924
Comment:
    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
      </text>
    </comment>
    <comment ref="C133" authorId="12" shapeId="0" xr:uid="{55D05C03-F230-4F2F-8E50-BA182527051A}">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35" authorId="13" shapeId="0" xr:uid="{588A28FF-6816-4AB8-A506-7AC52EF94034}">
      <text>
        <t>[Threaded comment]
Your version of Excel allows you to read this threaded comment; however, any edits to it will get removed if the file is opened in a newer version of Excel. Learn more: https://go.microsoft.com/fwlink/?linkid=870924
Comment:
    1.701.69	Class C Principal Lock-Out shall occur on any Interest Payment Date on which, if prior to the allocation of the Redemption Amount in accordance with the Priority of Payments, there are Class B Notes outstanding;</t>
      </text>
    </comment>
    <comment ref="C139" authorId="14" shapeId="0" xr:uid="{C8471E35-5B7B-40F9-AADC-E0095DCEA6B6}">
      <text>
        <t>[Threaded comment]
Your version of Excel allows you to read this threaded comment; however, any edits to it will get removed if the file is opened in a newer version of Excel. Learn more: https://go.microsoft.com/fwlink/?linkid=870924
Comment:
    1.1	first, to pay or provide for the Issuer’s liability or potential liability for Tax;</t>
      </text>
    </comment>
    <comment ref="C140" authorId="15" shapeId="0" xr:uid="{0CCD5CA1-D754-4CC9-B111-B11369F2F90E}">
      <text>
        <t>[Threaded comment]
Your version of Excel allows you to read this threaded comment; however, any edits to it will get removed if the file is opened in a newer version of Excel. Learn more: https://go.microsoft.com/fwlink/?linkid=870924
Comment:
    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
      </text>
    </comment>
    <comment ref="C143" authorId="16" shapeId="0" xr:uid="{44BD72AE-9715-4802-A1A3-74661562451D}">
      <text>
        <t>[Threaded comment]
Your version of Excel allows you to read this threaded comment; however, any edits to it will get removed if the file is opened in a newer version of Excel. Learn more: https://go.microsoft.com/fwlink/?linkid=870924
Comment:
    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
      </text>
    </comment>
    <comment ref="C146" authorId="17" shapeId="0" xr:uid="{E43D550B-EF69-4AA8-8DDD-0D07F61B69C8}">
      <text>
        <t>[Threaded comment]
Your version of Excel allows you to read this threaded comment; however, any edits to it will get removed if the file is opened in a newer version of Excel. Learn more: https://go.microsoft.com/fwlink/?linkid=870924
Comment:
    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
      </text>
    </comment>
    <comment ref="C150" authorId="18" shapeId="0" xr:uid="{293BCC63-00E4-46C7-B674-AE4DACFD0B23}">
      <text>
        <t>[Threaded comment]
Your version of Excel allows you to read this threaded comment; however, any edits to it will get removed if the file is opened in a newer version of Excel. Learn more: https://go.microsoft.com/fwlink/?linkid=870924
Comment:
    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
      </text>
    </comment>
    <comment ref="C151" authorId="19" shapeId="0" xr:uid="{81E5C7C3-4B6E-4E0D-95F0-602D513991DC}">
      <text>
        <t>[Threaded comment]
Your version of Excel allows you to read this threaded comment; however, any edits to it will get removed if the file is opened in a newer version of Excel. Learn more: https://go.microsoft.com/fwlink/?linkid=870924
Comment:
    1.6	sixth, to pay all amounts due and payable under the Liquidity Facility other than in respect of principal;</t>
      </text>
    </comment>
    <comment ref="C152" authorId="20" shapeId="0" xr:uid="{E16A1E1B-8AE5-492E-BB44-FA4963E5BAC9}">
      <text>
        <t>[Threaded comment]
Your version of Excel allows you to read this threaded comment; however, any edits to it will get removed if the file is opened in a newer version of Excel. Learn more: https://go.microsoft.com/fwlink/?linkid=870924
Comment:
    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
      </text>
    </comment>
    <comment ref="C156" authorId="21" shapeId="0" xr:uid="{4349365A-77A8-43D2-A646-6FE5EC28ABC7}">
      <text>
        <t>[Threaded comment]
Your version of Excel allows you to read this threaded comment; however, any edits to it will get removed if the file is opened in a newer version of Excel. Learn more: https://go.microsoft.com/fwlink/?linkid=870924
Comment:
    1.8	eighth, subject to a Class B Interest Deferral Event not having occurred on or prior to that Interest Payment Date, to pay or provide for all amounts due and payable in respect of the Class B Notes other than in respect of principal on the Class B Notes;</t>
      </text>
    </comment>
    <comment ref="C157" authorId="22" shapeId="0" xr:uid="{D35C6CDB-2082-42DE-B860-D3F589AB0B06}">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58" authorId="23" shapeId="0" xr:uid="{D6658421-D406-4831-9BAF-2179FBE7F0FA}">
      <text>
        <t>[Threaded comment]
Your version of Excel allows you to read this threaded comment; however, any edits to it will get removed if the file is opened in a newer version of Excel. Learn more: https://go.microsoft.com/fwlink/?linkid=870924
Comment:
    1.10	tenth, subject to a Class C Interest Deferral Event not having occurred on or prior to that Interest Payment Date, to pay or to provide for all amounts due and payable in respect of the Class C Notes other than in respect of principal on the Class C Notes;</t>
      </text>
    </comment>
    <comment ref="C159" authorId="24" shapeId="0" xr:uid="{C7213D74-29F2-49F5-968F-A6D531D4EF26}">
      <text>
        <t>[Threaded comment]
Your version of Excel allows you to read this threaded comment; however, any edits to it will get removed if the file is opened in a newer version of Excel. Learn more: https://go.microsoft.com/fwlink/?linkid=870924
Comment:
    1.11	eleventh, to repay all principal amounts outstanding under the Liquidity Facility as at the immediately preceding Determination Date up to an amount equal to the Potential Redemption Amount;</t>
      </text>
    </comment>
    <comment ref="C160" authorId="25" shapeId="0" xr:uid="{0BC5D422-91EA-4341-9BD9-8413D8A27CBF}">
      <text>
        <t>[Threaded comment]
Your version of Excel allows you to read this threaded comment; however, any edits to it will get removed if the file is opened in a newer version of Excel. Learn more: https://go.microsoft.com/fwlink/?linkid=870924
Comment:
    1.12	twelfth, provided that a Stop-Lending Trigger Event has not occurred, to fund the advance by the Issuer of Redraws and Re-Advances up to an amount equal to the Potential Redemption Amount less the sum of the amounts applied under item 1.11 above;</t>
      </text>
    </comment>
    <comment ref="C161" authorId="26" shapeId="0" xr:uid="{ADAFFA5B-5EA0-4076-8E42-0210ECCBC561}">
      <text>
        <t>[Threaded comment]
Your version of Excel allows you to read this threaded comment; however, any edits to it will get removed if the file is opened in a newer version of Excel. Learn more: https://go.microsoft.com/fwlink/?linkid=870924
Comment:
    1.13	thirteenth, provided that a Stop-Lending Trigger Event has not occurred, to fund the advance by the Issuer of Further Advances and, during the Revolving Period only, to fund the purchase by the Issuer of Additional Assets, equal to the greater of zero and up to the lower of:</t>
      </text>
    </comment>
    <comment ref="C162" authorId="27" shapeId="0" xr:uid="{50915DD3-BA26-4309-BE59-71102141375D}">
      <text>
        <t>[Threaded comment]
Your version of Excel allows you to read this threaded comment; however, any edits to it will get removed if the file is opened in a newer version of Excel. Learn more: https://go.microsoft.com/fwlink/?linkid=870924
Comment:
    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
      </text>
    </comment>
    <comment ref="C169" authorId="28" shapeId="0" xr:uid="{86DB5411-2EC1-450B-BCF4-96D34DC7BA6D}">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0" authorId="29" shapeId="0" xr:uid="{C1255804-B46C-4BC7-85C8-9F0432C7D85F}">
      <text>
        <t>[Threaded comment]
Your version of Excel allows you to read this threaded comment; however, any edits to it will get removed if the file is opened in a newer version of Excel. Learn more: https://go.microsoft.com/fwlink/?linkid=870924
Comment:
    1.17	seventeenth, if a Class B Interest Deferral Event has occurred on or prior to such Interest Payment Date, to pay interest due and payable in respect of the Class B Notes;</t>
      </text>
    </comment>
    <comment ref="C171" authorId="30" shapeId="0" xr:uid="{4E18FD0C-7978-4A88-A1C4-7D34026C337B}">
      <text>
        <t>[Threaded comment]
Your version of Excel allows you to read this threaded comment; however, any edits to it will get removed if the file is opened in a newer version of Excel. Learn more: https://go.microsoft.com/fwlink/?linkid=870924
Comment:
    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
      </text>
    </comment>
    <comment ref="C174" authorId="31" shapeId="0" xr:uid="{7D796C43-E186-4324-8880-F7B6A0921AA1}">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5" authorId="32" shapeId="0" xr:uid="{D5E24189-6866-4F04-8490-0877F012F975}">
      <text>
        <t>[Threaded comment]
Your version of Excel allows you to read this threaded comment; however, any edits to it will get removed if the file is opened in a newer version of Excel. Learn more: https://go.microsoft.com/fwlink/?linkid=870924
Comment:
    1.19	nineteenth, if a Class C Interest Deferral Event has occurred on or prior to such Interest Payment Date, to pay interest due and payable in respect of the Class C Notes;</t>
      </text>
    </comment>
    <comment ref="C176" authorId="33" shapeId="0" xr:uid="{BC42A4E7-7938-4183-9291-6D7854155743}">
      <text>
        <t>[Threaded comment]
Your version of Excel allows you to read this threaded comment; however, any edits to it will get removed if the file is opened in a newer version of Excel. Learn more: https://go.microsoft.com/fwlink/?linkid=870924
Comment:
    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
      </text>
    </comment>
    <comment ref="C178" authorId="34" shapeId="0" xr:uid="{5D8099D7-E368-44F9-BFEB-4BA584D05178}">
      <text>
        <t>[Threaded comment]
Your version of Excel allows you to read this threaded comment; however, any edits to it will get removed if the file is opened in a newer version of Excel. Learn more: https://go.microsoft.com/fwlink/?linkid=870924
Comment:
    1.21	twenty-first, to pay or provide for pari passu and pro rata the Derivative Termination Amounts due and payable to any Derivative Counterparty under the Derivative Contracts where the Derivative Counterparty is in default;</t>
      </text>
    </comment>
    <comment ref="C179" authorId="35" shapeId="0" xr:uid="{66205BB9-15D1-4B83-82E2-9381194EC441}">
      <text>
        <t>[Threaded comment]
Your version of Excel allows you to read this threaded comment; however, any edits to it will get removed if the file is opened in a newer version of Excel. Learn more: https://go.microsoft.com/fwlink/?linkid=870924
Comment:
    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
      </text>
    </comment>
    <comment ref="C180" authorId="36" shapeId="0" xr:uid="{F7D5FD5A-787E-47E3-960F-C5A3106AA05E}">
      <text>
        <t>[Threaded comment]
Your version of Excel allows you to read this threaded comment; however, any edits to it will get removed if the file is opened in a newer version of Excel. Learn more: https://go.microsoft.com/fwlink/?linkid=870924
Comment:
    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
      </text>
    </comment>
    <comment ref="C181" authorId="37" shapeId="0" xr:uid="{4E0D10A4-9E41-478C-9E66-09BA8F4E5E3F}">
      <text>
        <t>[Threaded comment]
Your version of Excel allows you to read this threaded comment; however, any edits to it will get removed if the file is opened in a newer version of Excel. Learn more: https://go.microsoft.com/fwlink/?linkid=870924
Comment:
    1.24	twenty-forth, to pay amounts due and payable in respect of the Subordinated Loan;</t>
      </text>
    </comment>
    <comment ref="C185" authorId="38" shapeId="0" xr:uid="{0C6F4168-6645-4401-B8C8-3BF6DA5B8D80}">
      <text>
        <t>[Threaded comment]
Your version of Excel allows you to read this threaded comment; however, any edits to it will get removed if the file is opened in a newer version of Excel. Learn more: https://go.microsoft.com/fwlink/?linkid=870924
Comment:
    1.25	twenty-fifth, to pay or provide for the dividend due and payable to the Preference Shareholder, net of Taxes; and</t>
      </text>
    </comment>
    <comment ref="C186" authorId="39" shapeId="0" xr:uid="{573A5867-22C9-4FEB-9756-15B570C831E3}">
      <text>
        <t>[Threaded comment]
Your version of Excel allows you to read this threaded comment; however, any edits to it will get removed if the file is opened in a newer version of Excel. Learn more: https://go.microsoft.com/fwlink/?linkid=870924
Comment:
    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
      </text>
    </comment>
  </commentList>
</comments>
</file>

<file path=xl/sharedStrings.xml><?xml version="1.0" encoding="utf-8"?>
<sst xmlns="http://schemas.openxmlformats.org/spreadsheetml/2006/main" count="425" uniqueCount="352">
  <si>
    <r>
      <t xml:space="preserve">Urban Ubomi 1 (RF) Limited
</t>
    </r>
    <r>
      <rPr>
        <sz val="10"/>
        <color theme="1"/>
        <rFont val="Calibri"/>
        <family val="2"/>
        <scheme val="minor"/>
      </rPr>
      <t>registration number 2019/504294/06</t>
    </r>
  </si>
  <si>
    <t>Administration Report</t>
  </si>
  <si>
    <t>Administration Report Date</t>
  </si>
  <si>
    <t>Based on information as at current Determination Date ("DD")</t>
  </si>
  <si>
    <t>Last Collection Period ("CP")</t>
  </si>
  <si>
    <t>From previous DD</t>
  </si>
  <si>
    <t>To current DD</t>
  </si>
  <si>
    <t>Number of days in CP</t>
  </si>
  <si>
    <t>Interest Payment Date ("IPD")</t>
  </si>
  <si>
    <t>Last Interest Period ("IP")</t>
  </si>
  <si>
    <t>From previous IPD</t>
  </si>
  <si>
    <t>To current IPD</t>
  </si>
  <si>
    <t>Number of days in IP</t>
  </si>
  <si>
    <t>Total Outstanding Principal Amount at Issue Date</t>
  </si>
  <si>
    <t>Total Outstanding Principal Amount at Current DD</t>
  </si>
  <si>
    <t>Total Outstanding Principal Amount following current IPD</t>
  </si>
  <si>
    <t>Administrator</t>
  </si>
  <si>
    <t>TUHF Limited</t>
  </si>
  <si>
    <t>Note Breakdown</t>
  </si>
  <si>
    <t xml:space="preserve">Class </t>
  </si>
  <si>
    <t>Class A1</t>
  </si>
  <si>
    <t>Class A4</t>
  </si>
  <si>
    <t>Class A7</t>
  </si>
  <si>
    <t>Class A2</t>
  </si>
  <si>
    <t>Class A5</t>
  </si>
  <si>
    <t>Class A8</t>
  </si>
  <si>
    <t>Class A9</t>
  </si>
  <si>
    <t>Class B</t>
  </si>
  <si>
    <t>Class C</t>
  </si>
  <si>
    <t>ISIN Code</t>
  </si>
  <si>
    <t>ZAG000175001</t>
  </si>
  <si>
    <t>ZAG000183567</t>
  </si>
  <si>
    <t>ZAG000191875</t>
  </si>
  <si>
    <t>ZAG000175019</t>
  </si>
  <si>
    <t>ZAG000183542</t>
  </si>
  <si>
    <t>ZAG000192006</t>
  </si>
  <si>
    <t>ZAG000192014</t>
  </si>
  <si>
    <t>ZAG000175035</t>
  </si>
  <si>
    <t>ZAG000183591</t>
  </si>
  <si>
    <t>ZAG000175043</t>
  </si>
  <si>
    <t>ZAG000183609</t>
  </si>
  <si>
    <t>ZAG000191909</t>
  </si>
  <si>
    <t>JSE Listing Code</t>
  </si>
  <si>
    <t>UU1A01</t>
  </si>
  <si>
    <t>UU1A04</t>
  </si>
  <si>
    <t>UU1A07</t>
  </si>
  <si>
    <t>UU1A02</t>
  </si>
  <si>
    <t>UU1A05</t>
  </si>
  <si>
    <t>UU1A08</t>
  </si>
  <si>
    <t>UU1A09</t>
  </si>
  <si>
    <t>UU1B01</t>
  </si>
  <si>
    <t>UU1C01</t>
  </si>
  <si>
    <t>UU1C02</t>
  </si>
  <si>
    <t>UU1C03</t>
  </si>
  <si>
    <t>Rate type</t>
  </si>
  <si>
    <t>Floating</t>
  </si>
  <si>
    <t>Fixed</t>
  </si>
  <si>
    <t xml:space="preserve">Margin for Interest Rate </t>
  </si>
  <si>
    <t>N/A</t>
  </si>
  <si>
    <t>Margin for Coupon Step-Up Rate</t>
  </si>
  <si>
    <t>Reference Rate for last IP</t>
  </si>
  <si>
    <t>Interest Rate for last IP</t>
  </si>
  <si>
    <t>Outstanding Principal Amount at Issue Date</t>
  </si>
  <si>
    <t>% of Notes at Issue Date</t>
  </si>
  <si>
    <t>% of Assets at Issue Date</t>
  </si>
  <si>
    <t>Total CE as % of Assets at Issue Date</t>
  </si>
  <si>
    <t>Outstanding Principal Amount at current DD</t>
  </si>
  <si>
    <t>Interest Due on current IPD</t>
  </si>
  <si>
    <t>Interest Paid on current IPD</t>
  </si>
  <si>
    <t xml:space="preserve">Interest shortfall </t>
  </si>
  <si>
    <t>Redemption Amount</t>
  </si>
  <si>
    <t>Outstanding Principal Amount following current IPD</t>
  </si>
  <si>
    <t>% of Notes following current IPD</t>
  </si>
  <si>
    <t>% of Assets following current IPD</t>
  </si>
  <si>
    <t>Total CE as % of Assets following current IPD</t>
  </si>
  <si>
    <t>Final Redemption Date</t>
  </si>
  <si>
    <t>Scheduled Maturity Date / Coupon Step-Up Date</t>
  </si>
  <si>
    <t>Reference Rate for next IP</t>
  </si>
  <si>
    <t>Interest Rate for next IP</t>
  </si>
  <si>
    <t>Rating on Issue Date</t>
  </si>
  <si>
    <t>AAA(za)(sf)</t>
  </si>
  <si>
    <t>AA+(za)(sf)</t>
  </si>
  <si>
    <t>BBB(za)(sf)</t>
  </si>
  <si>
    <t>Rating on IPD</t>
  </si>
  <si>
    <t>A+(za)(sf)</t>
  </si>
  <si>
    <t>Transaction Account Movement over last Collection Period</t>
  </si>
  <si>
    <t>Opening balances</t>
  </si>
  <si>
    <t>Transaction Account opening balance on last DD</t>
  </si>
  <si>
    <t>Total payments out of Transaction Account on last IPD</t>
  </si>
  <si>
    <t>Residual of Transaction Account opening balance from last DD following payments out on last IPD</t>
  </si>
  <si>
    <t>Retained surplus from PoP</t>
  </si>
  <si>
    <t>Capital Reserve</t>
  </si>
  <si>
    <t>Arrears Reserve</t>
  </si>
  <si>
    <t>Incoming cash flows</t>
  </si>
  <si>
    <t>Total issuance proceeds during CP</t>
  </si>
  <si>
    <t>from Notes</t>
  </si>
  <si>
    <t>from Subordinated Loan</t>
  </si>
  <si>
    <t>Total interest receipts on Transaction Account and Permitted Investments during CP</t>
  </si>
  <si>
    <t>Interest received during CP on balance in Transaction Account</t>
  </si>
  <si>
    <t>Interest received during CP from Permitted Investments</t>
  </si>
  <si>
    <t>Total collection receipts during CP from Participating Assets</t>
  </si>
  <si>
    <t>Repayments</t>
  </si>
  <si>
    <t>Prepayments</t>
  </si>
  <si>
    <t xml:space="preserve">Enforcement and recovery proceeds </t>
  </si>
  <si>
    <t>principal portion</t>
  </si>
  <si>
    <t>Interest portion</t>
  </si>
  <si>
    <t>Insurance Proceeds</t>
  </si>
  <si>
    <t xml:space="preserve">Sale of Participating Asset proceeds </t>
  </si>
  <si>
    <t>Ordinary Disposals</t>
  </si>
  <si>
    <t>Substitution Disposals</t>
  </si>
  <si>
    <t>Interest receipts</t>
  </si>
  <si>
    <t>Fees and costs</t>
  </si>
  <si>
    <t>Net settlements on Derivatives and Derivative Termination Amounts</t>
  </si>
  <si>
    <t>Other receipts into Transaction Account during CP</t>
  </si>
  <si>
    <t>Outgoing cash flows</t>
  </si>
  <si>
    <t>Payment of Excluded Items during CP</t>
  </si>
  <si>
    <t>Monies belonging to 3rd parties</t>
  </si>
  <si>
    <t>.</t>
  </si>
  <si>
    <t>Reconciliation amounts under Sale Agreement(s)</t>
  </si>
  <si>
    <t>Purchase Price under Sale Agreement(s)</t>
  </si>
  <si>
    <t>from proceeds of issue of Notes and Subordinated Loan (incl. Pre-Funding Amount)</t>
  </si>
  <si>
    <t>from proceeds of Substitution disposal</t>
  </si>
  <si>
    <t>from Capital Reserve</t>
  </si>
  <si>
    <t>Advances to Borrowers under Sale Agreement</t>
  </si>
  <si>
    <t>Repayments to Liquidity Facility on Latest Coupon Step-Up Date</t>
  </si>
  <si>
    <t>Reversal of double payment of instalments</t>
  </si>
  <si>
    <t>Refinancing Note proceeds paid to Refinanced Notes</t>
  </si>
  <si>
    <t>Closing balances</t>
  </si>
  <si>
    <t>Transaction Acount closing balance on current DD for Availability Priorty of Payments</t>
  </si>
  <si>
    <t>Retained surplus from PoP from previous PD</t>
  </si>
  <si>
    <t>Net receipts during CP</t>
  </si>
  <si>
    <t>Potential Redemption Amount ("PRA")</t>
  </si>
  <si>
    <t>PRA on current DD</t>
  </si>
  <si>
    <t>Principal Collections during CP</t>
  </si>
  <si>
    <t xml:space="preserve">(plus) 50% of balance(s) of new NPLs in preceding Collection Period </t>
  </si>
  <si>
    <r>
      <t xml:space="preserve">(plus) Principal Deficiency amount from </t>
    </r>
    <r>
      <rPr>
        <u/>
        <sz val="11"/>
        <color theme="1"/>
        <rFont val="Calibri (Body)"/>
      </rPr>
      <t>previous</t>
    </r>
    <r>
      <rPr>
        <sz val="11"/>
        <color theme="1"/>
        <rFont val="Calibri"/>
        <family val="2"/>
        <scheme val="minor"/>
      </rPr>
      <t xml:space="preserve"> DD</t>
    </r>
  </si>
  <si>
    <t>(less) Repayments and Prepayments used for Redraws, Re-Advances and Further Advances during CP</t>
  </si>
  <si>
    <t>(plus) Advances under the Liquidity Facility during CP</t>
  </si>
  <si>
    <t>(plus) Capital Reserve excess</t>
  </si>
  <si>
    <t>Principal Deficiency Ledger</t>
  </si>
  <si>
    <t>PRA at current DD</t>
  </si>
  <si>
    <t>Cash available in Availability Period Priority of Payment after item 9 on current DD</t>
  </si>
  <si>
    <t>Principal Deficiency on current IPD</t>
  </si>
  <si>
    <t>Interest Deferral Event</t>
  </si>
  <si>
    <t>Prior PD Amount</t>
  </si>
  <si>
    <t>Threshold</t>
  </si>
  <si>
    <t>Prior Deferral (Y/N)</t>
  </si>
  <si>
    <t>Deferral (Y/N)</t>
  </si>
  <si>
    <t xml:space="preserve">Class B Interest deferral Event </t>
  </si>
  <si>
    <t>N</t>
  </si>
  <si>
    <t>Class C Interest Deferral Event</t>
  </si>
  <si>
    <t>Principal Lock-Outs</t>
  </si>
  <si>
    <t>Prior to Latest Coupon Step-Up Date (Y/N)</t>
  </si>
  <si>
    <t>Y</t>
  </si>
  <si>
    <t>Outstanding Principal Amount Class A1 and Class A2 greater than Class A Redemption Amount (Y/N)</t>
  </si>
  <si>
    <t>Event of Default (Y/N)</t>
  </si>
  <si>
    <t>Class A Principal Lock-Out for Class A2 on IPD (Y/N)</t>
  </si>
  <si>
    <t>Class A Notes Outstanding (Y/N) and</t>
  </si>
  <si>
    <t>Interest Payment Date prior to Latest Coupon Step-Up Date; or</t>
  </si>
  <si>
    <t>Is Class B and Class C ratio &lt; 2x ratio as at latest Issue Date (Y/N); or</t>
  </si>
  <si>
    <t xml:space="preserve">Outstand Principal Amount of all Notes less than 10% (Y/N); or </t>
  </si>
  <si>
    <t>Principal Deficiency on immediately preceding IPD (Y/N)</t>
  </si>
  <si>
    <t>Non-Performing Assets exceeds 10% of Participating Assets (Y/N);</t>
  </si>
  <si>
    <t xml:space="preserve">Outstanding Principal Amount of Class B and Class C less than 2 times of single Borrower (Y/N) </t>
  </si>
  <si>
    <t>Arrears Reserve not funded to Arrears Reserve Required Amount on immediately preceding IPD (Y/N)</t>
  </si>
  <si>
    <t>Class B Principal Lock-Out on IPD (Y/N)</t>
  </si>
  <si>
    <t>Class B Notes Outstanding (Y/N)</t>
  </si>
  <si>
    <t>Class C Principal Lock-Out on IPD (Y/N)</t>
  </si>
  <si>
    <t xml:space="preserve">Pre-Enforcement Priority of Payments </t>
  </si>
  <si>
    <t>PoP Item</t>
  </si>
  <si>
    <t xml:space="preserve">Amount Due / Provided </t>
  </si>
  <si>
    <t>Cash Available 
(incl. Liquidity Facility if applicable)</t>
  </si>
  <si>
    <t>Amount Paid / Provided for</t>
  </si>
  <si>
    <t>1.1 Tax</t>
  </si>
  <si>
    <t>1.2 pari passu and pro rata</t>
  </si>
  <si>
    <t>1.2.1 Security SPV</t>
  </si>
  <si>
    <t>1.2.2 Owner Trustee</t>
  </si>
  <si>
    <t>1.3 pari passu and pro rata</t>
  </si>
  <si>
    <t xml:space="preserve">1.3.1 Account Bank </t>
  </si>
  <si>
    <t>1.3.2 third parties</t>
  </si>
  <si>
    <t>1.4 pari passu and pro rata</t>
  </si>
  <si>
    <t>1.4.1 Senior Servicing Fee</t>
  </si>
  <si>
    <t xml:space="preserve">1.4.2 Back-Up Servicing Fee </t>
  </si>
  <si>
    <t xml:space="preserve">1.4.3 Administrator Fee </t>
  </si>
  <si>
    <t>1.5 Derivative Net Settlement and Termination Amounts</t>
  </si>
  <si>
    <t>1.6 Liquidity Facility (not applicable)</t>
  </si>
  <si>
    <t>1.7 pari passu and pro rata (other than principal)</t>
  </si>
  <si>
    <t>6.1. Class A1, Class A4 &amp; Class A7</t>
  </si>
  <si>
    <t>6.2. Class A2, Class A5 &amp; Class A8</t>
  </si>
  <si>
    <t>6.3. Class A9</t>
  </si>
  <si>
    <t>1.8 Class B (other than principal) if no Class B IDE</t>
  </si>
  <si>
    <t>1.9 Class C (other than principal) if no Class C IDE</t>
  </si>
  <si>
    <t>1.10 Liquidity Facility principal (not applicable)</t>
  </si>
  <si>
    <t xml:space="preserve">1.11 Redraws and Re-Advances </t>
  </si>
  <si>
    <t xml:space="preserve">1.12 Further Advances and Additional Assets </t>
  </si>
  <si>
    <t xml:space="preserve">1.13 Capital Reserve </t>
  </si>
  <si>
    <t xml:space="preserve">1.14 Redemption of Notes if Class A outstanding </t>
  </si>
  <si>
    <t xml:space="preserve">Class A Redemption Amount </t>
  </si>
  <si>
    <t>Class A1, Class A4 &amp; Class A7</t>
  </si>
  <si>
    <t>Class A2, Class A5 &amp; Class A8</t>
  </si>
  <si>
    <t>Class B Redemption Amount</t>
  </si>
  <si>
    <t>Class C Redemption Amount</t>
  </si>
  <si>
    <t>1.15 Arrears Reserve top up if Class A Outstanding</t>
  </si>
  <si>
    <t>1.16 Class B (other than principal) if Class B IDE</t>
  </si>
  <si>
    <t>1.17 Redemption of Notes if no Class A but Class B outstanding</t>
  </si>
  <si>
    <t>1.18 Arrears Reserve top up if no Class A Outstanding</t>
  </si>
  <si>
    <t>1.19 Class C (other than principal) if Class C IDE</t>
  </si>
  <si>
    <t>1.20 Redemption of Notes if no Class B but Class C outstanding</t>
  </si>
  <si>
    <t xml:space="preserve">1.21 Derivative Termination Amounts </t>
  </si>
  <si>
    <t>1.22 Redemption of the Notes if after Latest Coupon Step-Up Date</t>
  </si>
  <si>
    <t>1.23 Subordinated Derivative net settlements and Derivative Termination Amounts</t>
  </si>
  <si>
    <t xml:space="preserve">1.24 Subordinated Loan </t>
  </si>
  <si>
    <t xml:space="preserve">Interest </t>
  </si>
  <si>
    <t>Deferred Interest</t>
  </si>
  <si>
    <t xml:space="preserve">Principal </t>
  </si>
  <si>
    <t>1.25 Dividend to Preference Shareholder</t>
  </si>
  <si>
    <t>1.26 Invest surplus or pay to ordinary shareholder</t>
  </si>
  <si>
    <t>Totals</t>
  </si>
  <si>
    <t>Arrears Reserve Ledger</t>
  </si>
  <si>
    <t>Arrears Reserve Required Amount on previous IPD</t>
  </si>
  <si>
    <t>Arrears Reserve on previous IPD</t>
  </si>
  <si>
    <t>Arrears Reserve Required Amount on current IPD</t>
  </si>
  <si>
    <t>Amount released from Arrears Reserve on current IPD</t>
  </si>
  <si>
    <t>Amount added to Arrears Reserve on current IPD</t>
  </si>
  <si>
    <t>Arrears Reserve on current IPD</t>
  </si>
  <si>
    <t>Capital Reserve Ledger</t>
  </si>
  <si>
    <t>Capital Reserve balance on last IPD</t>
  </si>
  <si>
    <t>Payments into Capital Reserve during CP</t>
  </si>
  <si>
    <t>Payments out of Capital Reserve during CP</t>
  </si>
  <si>
    <t>Capital Reserve balance on current DD</t>
  </si>
  <si>
    <t>Payments out of Capital Reserve on IPD</t>
  </si>
  <si>
    <t>Payments into Capital Reserve on IPD</t>
  </si>
  <si>
    <t>Capital Reserve balance on current IPD</t>
  </si>
  <si>
    <t>Subordinated Loan</t>
  </si>
  <si>
    <t>Margin</t>
  </si>
  <si>
    <t>Date</t>
  </si>
  <si>
    <t>Base Rate</t>
  </si>
  <si>
    <t>Loan</t>
  </si>
  <si>
    <t>aggregate Subordinated Loan</t>
  </si>
  <si>
    <t>Subordinated Loan as at last IPD after PoP</t>
  </si>
  <si>
    <t>Subordinated Loans advanced during IP</t>
  </si>
  <si>
    <t>Loan 1</t>
  </si>
  <si>
    <t>Loan 2</t>
  </si>
  <si>
    <t>Loan 3</t>
  </si>
  <si>
    <t>Subordinated Loan outstanding on IPD</t>
  </si>
  <si>
    <t xml:space="preserve">Interest due on IPD for the IP </t>
  </si>
  <si>
    <t xml:space="preserve">Unpaid Interest from previous IPDs </t>
  </si>
  <si>
    <t>Interest paid on IPD</t>
  </si>
  <si>
    <t>Interest shortfall on IPD</t>
  </si>
  <si>
    <t>Deferred Interest paid on IPD</t>
  </si>
  <si>
    <t>Subordinated Loan repayment on IPD</t>
  </si>
  <si>
    <t>Subordinate Loan outstanding and unpaid interest on current PD</t>
  </si>
  <si>
    <t>Servicer Report</t>
  </si>
  <si>
    <t xml:space="preserve">Servicer Report Date: </t>
  </si>
  <si>
    <t>Based on information as at current Determination Date ("DD"):</t>
  </si>
  <si>
    <t>From previous DD:</t>
  </si>
  <si>
    <t>To current DD:</t>
  </si>
  <si>
    <t>Number of days in CP:</t>
  </si>
  <si>
    <t>Availability Period</t>
  </si>
  <si>
    <t>Start date:</t>
  </si>
  <si>
    <t>Projected end date:</t>
  </si>
  <si>
    <t>Final Maturity Date:</t>
  </si>
  <si>
    <t>Base Rate:</t>
  </si>
  <si>
    <t>Reset Date</t>
  </si>
  <si>
    <t>Last date:</t>
  </si>
  <si>
    <t>Next date:</t>
  </si>
  <si>
    <t>Servicer:</t>
  </si>
  <si>
    <t>Back-Up Servicer:</t>
  </si>
  <si>
    <t>Mettle Credit Services Proprietary Limited</t>
  </si>
  <si>
    <t>Participating Assets - movements in CP</t>
  </si>
  <si>
    <t>Opening balances as at previous DD</t>
  </si>
  <si>
    <t>Participating Assets as at previous DD:</t>
  </si>
  <si>
    <t>New Participating Assets during CP</t>
  </si>
  <si>
    <t>Acquisitions of Loan Agreements during CP:</t>
  </si>
  <si>
    <t>Ordinary Acquisitions</t>
  </si>
  <si>
    <t>Substitution Acquisitions</t>
  </si>
  <si>
    <t>Further Advances in respect of existing Loan Agreements during CP:</t>
  </si>
  <si>
    <t>Cash Advances</t>
  </si>
  <si>
    <t>Capitalised costs</t>
  </si>
  <si>
    <t>Amounts Due during current CP</t>
  </si>
  <si>
    <t>Scheduled Instalments due during current CP:</t>
  </si>
  <si>
    <t>Instalments due - Repayments:</t>
  </si>
  <si>
    <t>Instalments due - Interest:</t>
  </si>
  <si>
    <t>Instalments due - Fees and Costs:</t>
  </si>
  <si>
    <t>Cash flow receipts during current CP</t>
  </si>
  <si>
    <t>Instalment receipts during current CP:</t>
  </si>
  <si>
    <t>Instalments - Repayments:</t>
  </si>
  <si>
    <t>Instalments - Interest:</t>
  </si>
  <si>
    <t>Instalments - Fees and Costs:</t>
  </si>
  <si>
    <t>Prepayments:</t>
  </si>
  <si>
    <t>Insurance Proceeds:</t>
  </si>
  <si>
    <t>Enforcement proceeds:</t>
  </si>
  <si>
    <t>Recoveries and disposal proceeds:</t>
  </si>
  <si>
    <t>Closing balances as at current DD</t>
  </si>
  <si>
    <t>Participating Assets as at current DD:</t>
  </si>
  <si>
    <t>Participating Assets - ageing analysis</t>
  </si>
  <si>
    <t>on previous DD</t>
  </si>
  <si>
    <t>on current DD</t>
  </si>
  <si>
    <t>Current and Advanced - 0 days in arrears:</t>
  </si>
  <si>
    <t>Early arrears:</t>
  </si>
  <si>
    <t>&gt; 0 &amp; &lt; 30 days in arrears:</t>
  </si>
  <si>
    <t>≥ 30 &amp; &lt; 60 days in arrears:</t>
  </si>
  <si>
    <t>≥ 60 &amp; &lt; 90 days in arrears:</t>
  </si>
  <si>
    <t>Non-Performing Assets:</t>
  </si>
  <si>
    <t>≥ 90 &amp; &lt; 120 days in arrears:</t>
  </si>
  <si>
    <t>≥ 120 &amp; &lt; 180 days in arrears:</t>
  </si>
  <si>
    <t>≥ 180 days in arrears:</t>
  </si>
  <si>
    <t>Other</t>
  </si>
  <si>
    <t>Total Participating Assets:</t>
  </si>
  <si>
    <t>Portfolio Covenants</t>
  </si>
  <si>
    <t>As at last DD</t>
  </si>
  <si>
    <t>As at current DD</t>
  </si>
  <si>
    <t>Weighted Average current LTV Ratio</t>
  </si>
  <si>
    <t>&lt; 65%</t>
  </si>
  <si>
    <t>Proportion with current LTV Ratio greater than 70%</t>
  </si>
  <si>
    <t>&lt; 25%</t>
  </si>
  <si>
    <t>Weighted average number of months from commencement</t>
  </si>
  <si>
    <t>&gt; 12 months</t>
  </si>
  <si>
    <t>Weighted Average Margin Covenant:</t>
  </si>
  <si>
    <t>&gt; 300 bps</t>
  </si>
  <si>
    <t>Concentration to top 3 Borrowers:</t>
  </si>
  <si>
    <t>Concentration to top 4 Borrowers:</t>
  </si>
  <si>
    <t>Concentration to top 5 Borrowers:</t>
  </si>
  <si>
    <t>Concentration to top 6 Borrowers:</t>
  </si>
  <si>
    <t>Concentration to top 7 Borrowers:</t>
  </si>
  <si>
    <t>Portfolio Stratifications</t>
  </si>
  <si>
    <t xml:space="preserve">Province </t>
  </si>
  <si>
    <t>Loan Balance</t>
  </si>
  <si>
    <t>Loan Balance %</t>
  </si>
  <si>
    <t>Count</t>
  </si>
  <si>
    <t>Count %</t>
  </si>
  <si>
    <t>Gauteng</t>
  </si>
  <si>
    <t>KwaZulu Natal</t>
  </si>
  <si>
    <t>Western Cape</t>
  </si>
  <si>
    <t>Free State</t>
  </si>
  <si>
    <t>Eastern Cape</t>
  </si>
  <si>
    <t xml:space="preserve">Total </t>
  </si>
  <si>
    <t>Current LTV Ratio</t>
  </si>
  <si>
    <t>0 - 25%</t>
  </si>
  <si>
    <t>25 - 50%</t>
  </si>
  <si>
    <t>50 - 60%</t>
  </si>
  <si>
    <t>60 - 70%</t>
  </si>
  <si>
    <t>70 - 81%</t>
  </si>
  <si>
    <t>Loan Commencement Date</t>
  </si>
  <si>
    <t>Current Participating Asset Margin Over Prime</t>
  </si>
  <si>
    <t>0 - 1%</t>
  </si>
  <si>
    <t>1 - 2%</t>
  </si>
  <si>
    <t>2 - 3%</t>
  </si>
  <si>
    <t>3 - 4%</t>
  </si>
  <si>
    <t>4 - 5%</t>
  </si>
  <si>
    <t>5 - 6%</t>
  </si>
  <si>
    <t>A-(za)(sf)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</si>
</sst>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_-"/>
    <numFmt numFmtId="165" formatCode="0.000%"/>
    <numFmt numFmtId="166" formatCode="_(* #,##0.00_);_(* \(#,##0.00\);_(* &quot;-&quot;??_);_(@_)"/>
    <numFmt numFmtId="167" formatCode="_(* #,##0_);_(* \(#,##0\);_(* &quot;-&quot;??_);_(@_)"/>
    <numFmt numFmtId="168" formatCode="_-* #,##0.0_-;\-* #,##0.0_-;_-* &quot;-&quot;??_-;_-@_-"/>
  </numFmts>
  <fonts count="15">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0"/>
      <color theme="1"/>
      <name val="Calibri"/>
      <family val="2"/>
      <scheme val="minor"/>
    </font>
    <font>
      <i/>
      <sz val="11"/>
      <color theme="1"/>
      <name val="Calibri"/>
      <family val="2"/>
      <scheme val="minor"/>
    </font>
    <font>
      <sz val="11"/>
      <name val="Calibri"/>
      <family val="2"/>
      <scheme val="minor"/>
    </font>
    <font>
      <i/>
      <sz val="11"/>
      <name val="Calibri"/>
      <family val="2"/>
      <scheme val="minor"/>
    </font>
    <font>
      <b/>
      <u/>
      <sz val="11"/>
      <color theme="1"/>
      <name val="Calibri"/>
      <family val="2"/>
      <scheme val="minor"/>
    </font>
    <font>
      <u/>
      <sz val="11"/>
      <color theme="1"/>
      <name val="Calibri (Body)"/>
    </font>
    <font>
      <b/>
      <i/>
      <sz val="11"/>
      <color theme="1"/>
      <name val="Calibri"/>
      <family val="2"/>
      <scheme val="minor"/>
    </font>
    <font>
      <b/>
      <i/>
      <sz val="11"/>
      <name val="Calibri"/>
      <family val="2"/>
      <scheme val="minor"/>
    </font>
    <font>
      <i/>
      <sz val="11"/>
      <color rgb="FFFF0000"/>
      <name val="Calibri"/>
      <family val="2"/>
      <scheme val="minor"/>
    </font>
    <font>
      <sz val="11"/>
      <color theme="1"/>
      <name val="Calibri"/>
      <family val="2"/>
    </font>
    <font>
      <b/>
      <sz val="11"/>
      <color theme="1"/>
      <name val="Calibri"/>
      <family val="2"/>
    </font>
  </fonts>
  <fills count="9">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02">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3" borderId="0" xfId="0" applyFill="1"/>
    <xf numFmtId="0" fontId="2" fillId="5" borderId="12" xfId="0" applyFont="1" applyFill="1" applyBorder="1"/>
    <xf numFmtId="0" fontId="2" fillId="5" borderId="13" xfId="0" applyFont="1" applyFill="1" applyBorder="1"/>
    <xf numFmtId="0" fontId="2" fillId="5" borderId="14" xfId="0" applyFont="1" applyFill="1" applyBorder="1"/>
    <xf numFmtId="0" fontId="2" fillId="5" borderId="18" xfId="0" applyFont="1" applyFill="1" applyBorder="1"/>
    <xf numFmtId="0" fontId="2" fillId="5" borderId="19" xfId="0" applyFont="1" applyFill="1" applyBorder="1"/>
    <xf numFmtId="0" fontId="2" fillId="5" borderId="20" xfId="0" applyFont="1" applyFill="1" applyBorder="1"/>
    <xf numFmtId="0" fontId="2" fillId="5" borderId="25" xfId="0" applyFont="1" applyFill="1" applyBorder="1" applyAlignment="1">
      <alignment horizontal="left" vertical="center"/>
    </xf>
    <xf numFmtId="0" fontId="2" fillId="5" borderId="22" xfId="0" applyFont="1" applyFill="1" applyBorder="1"/>
    <xf numFmtId="0" fontId="2" fillId="5" borderId="18" xfId="0" applyFont="1" applyFill="1" applyBorder="1" applyAlignment="1">
      <alignment horizontal="left" vertical="center"/>
    </xf>
    <xf numFmtId="0" fontId="2" fillId="5" borderId="19" xfId="0" applyFont="1" applyFill="1" applyBorder="1" applyAlignment="1">
      <alignment horizontal="left" vertical="center"/>
    </xf>
    <xf numFmtId="0" fontId="2" fillId="5" borderId="28" xfId="0" applyFont="1" applyFill="1" applyBorder="1"/>
    <xf numFmtId="0" fontId="2" fillId="5" borderId="0" xfId="0" applyFont="1" applyFill="1" applyAlignment="1">
      <alignment horizontal="left" vertical="center"/>
    </xf>
    <xf numFmtId="0" fontId="2" fillId="5" borderId="29" xfId="0" applyFont="1" applyFill="1" applyBorder="1" applyAlignment="1">
      <alignment horizontal="left" vertical="center"/>
    </xf>
    <xf numFmtId="0" fontId="2" fillId="5" borderId="29" xfId="0" applyFont="1" applyFill="1" applyBorder="1"/>
    <xf numFmtId="0" fontId="2" fillId="5" borderId="30" xfId="0" applyFont="1" applyFill="1" applyBorder="1"/>
    <xf numFmtId="0" fontId="2" fillId="5" borderId="31" xfId="0" applyFont="1" applyFill="1" applyBorder="1"/>
    <xf numFmtId="0" fontId="2" fillId="5" borderId="32" xfId="0" applyFont="1" applyFill="1" applyBorder="1"/>
    <xf numFmtId="0" fontId="2" fillId="5" borderId="30" xfId="0" applyFont="1" applyFill="1" applyBorder="1" applyAlignment="1">
      <alignment horizontal="left" vertical="center"/>
    </xf>
    <xf numFmtId="164" fontId="0" fillId="2" borderId="0" xfId="0" applyNumberFormat="1" applyFill="1"/>
    <xf numFmtId="0" fontId="2" fillId="5" borderId="6" xfId="0" applyFont="1" applyFill="1" applyBorder="1"/>
    <xf numFmtId="0" fontId="2" fillId="5" borderId="7" xfId="0" applyFont="1" applyFill="1" applyBorder="1"/>
    <xf numFmtId="0" fontId="0" fillId="5" borderId="29" xfId="0" applyFill="1" applyBorder="1"/>
    <xf numFmtId="0" fontId="2" fillId="5" borderId="21" xfId="0" applyFont="1" applyFill="1" applyBorder="1"/>
    <xf numFmtId="0" fontId="2" fillId="5" borderId="36" xfId="0" applyFont="1" applyFill="1" applyBorder="1"/>
    <xf numFmtId="0" fontId="2" fillId="5" borderId="4" xfId="0" applyFont="1" applyFill="1" applyBorder="1"/>
    <xf numFmtId="0" fontId="0" fillId="5" borderId="0" xfId="0" applyFill="1"/>
    <xf numFmtId="0" fontId="0" fillId="3" borderId="22" xfId="0" applyFill="1" applyBorder="1" applyAlignment="1">
      <alignment horizontal="center"/>
    </xf>
    <xf numFmtId="0" fontId="0" fillId="3" borderId="21" xfId="0" applyFill="1" applyBorder="1" applyAlignment="1">
      <alignment horizontal="center"/>
    </xf>
    <xf numFmtId="0" fontId="6" fillId="3" borderId="36" xfId="0" applyFont="1" applyFill="1" applyBorder="1" applyAlignment="1">
      <alignment horizontal="center"/>
    </xf>
    <xf numFmtId="0" fontId="0" fillId="3" borderId="36" xfId="0" applyFill="1" applyBorder="1" applyAlignment="1">
      <alignment horizontal="center"/>
    </xf>
    <xf numFmtId="0" fontId="6" fillId="3" borderId="22" xfId="0" applyFont="1" applyFill="1" applyBorder="1" applyAlignment="1">
      <alignment horizontal="center"/>
    </xf>
    <xf numFmtId="0" fontId="6" fillId="3" borderId="21" xfId="0" applyFont="1" applyFill="1" applyBorder="1" applyAlignment="1">
      <alignment horizontal="center"/>
    </xf>
    <xf numFmtId="10" fontId="5" fillId="3" borderId="22" xfId="0" applyNumberFormat="1" applyFont="1" applyFill="1" applyBorder="1"/>
    <xf numFmtId="10" fontId="5" fillId="3" borderId="22" xfId="2" applyNumberFormat="1" applyFont="1" applyFill="1" applyBorder="1" applyAlignment="1"/>
    <xf numFmtId="10" fontId="7" fillId="3" borderId="22" xfId="2" applyNumberFormat="1" applyFont="1" applyFill="1" applyBorder="1" applyAlignment="1"/>
    <xf numFmtId="10" fontId="7" fillId="3" borderId="22" xfId="2" applyNumberFormat="1" applyFont="1" applyFill="1" applyBorder="1" applyAlignment="1">
      <alignment horizontal="right"/>
    </xf>
    <xf numFmtId="10" fontId="7" fillId="3" borderId="21" xfId="2" applyNumberFormat="1" applyFont="1" applyFill="1" applyBorder="1" applyAlignment="1"/>
    <xf numFmtId="10" fontId="7" fillId="3" borderId="36" xfId="2" applyNumberFormat="1" applyFont="1" applyFill="1" applyBorder="1" applyAlignment="1"/>
    <xf numFmtId="10" fontId="5" fillId="0" borderId="22" xfId="0" applyNumberFormat="1" applyFont="1" applyBorder="1"/>
    <xf numFmtId="10" fontId="5" fillId="0" borderId="22" xfId="2" applyNumberFormat="1" applyFont="1" applyFill="1" applyBorder="1" applyAlignment="1"/>
    <xf numFmtId="10" fontId="7" fillId="0" borderId="22" xfId="2" applyNumberFormat="1" applyFont="1" applyFill="1" applyBorder="1" applyAlignment="1"/>
    <xf numFmtId="10" fontId="7" fillId="0" borderId="22" xfId="2" applyNumberFormat="1" applyFont="1" applyFill="1" applyBorder="1" applyAlignment="1">
      <alignment horizontal="right"/>
    </xf>
    <xf numFmtId="10" fontId="7" fillId="0" borderId="21" xfId="2" applyNumberFormat="1" applyFont="1" applyFill="1" applyBorder="1" applyAlignment="1"/>
    <xf numFmtId="10" fontId="7" fillId="0" borderId="36" xfId="2" applyNumberFormat="1" applyFont="1" applyFill="1" applyBorder="1" applyAlignment="1"/>
    <xf numFmtId="165" fontId="7" fillId="3" borderId="22" xfId="2" applyNumberFormat="1" applyFont="1" applyFill="1" applyBorder="1" applyAlignment="1">
      <alignment horizontal="right"/>
    </xf>
    <xf numFmtId="164" fontId="5" fillId="3" borderId="22" xfId="1" applyNumberFormat="1" applyFont="1" applyFill="1" applyBorder="1" applyAlignment="1"/>
    <xf numFmtId="164" fontId="7" fillId="3" borderId="22" xfId="1" applyNumberFormat="1" applyFont="1" applyFill="1" applyBorder="1" applyAlignment="1"/>
    <xf numFmtId="164" fontId="7" fillId="3" borderId="21" xfId="1" applyNumberFormat="1" applyFont="1" applyFill="1" applyBorder="1" applyAlignment="1"/>
    <xf numFmtId="164" fontId="7" fillId="3" borderId="36" xfId="1" applyNumberFormat="1" applyFont="1" applyFill="1" applyBorder="1" applyAlignment="1"/>
    <xf numFmtId="10" fontId="7" fillId="3" borderId="23" xfId="2" applyNumberFormat="1" applyFont="1" applyFill="1" applyBorder="1" applyAlignment="1"/>
    <xf numFmtId="0" fontId="0" fillId="5" borderId="30" xfId="0" applyFill="1" applyBorder="1" applyAlignment="1">
      <alignment horizontal="left" indent="1"/>
    </xf>
    <xf numFmtId="164" fontId="7" fillId="0" borderId="21" xfId="1" applyNumberFormat="1" applyFont="1" applyFill="1" applyBorder="1" applyAlignment="1"/>
    <xf numFmtId="164" fontId="5" fillId="0" borderId="22" xfId="1" applyNumberFormat="1" applyFont="1" applyFill="1" applyBorder="1" applyAlignment="1"/>
    <xf numFmtId="164" fontId="7" fillId="0" borderId="22" xfId="1" applyNumberFormat="1" applyFont="1" applyFill="1" applyBorder="1" applyAlignment="1"/>
    <xf numFmtId="164" fontId="7" fillId="0" borderId="36" xfId="1" applyNumberFormat="1" applyFont="1" applyFill="1" applyBorder="1" applyAlignment="1"/>
    <xf numFmtId="0" fontId="0" fillId="5" borderId="4" xfId="0" applyFill="1" applyBorder="1" applyAlignment="1">
      <alignment horizontal="left" indent="1"/>
    </xf>
    <xf numFmtId="15" fontId="7" fillId="3" borderId="22" xfId="0" applyNumberFormat="1" applyFont="1" applyFill="1" applyBorder="1"/>
    <xf numFmtId="15" fontId="7" fillId="3" borderId="21" xfId="0" applyNumberFormat="1" applyFont="1" applyFill="1" applyBorder="1"/>
    <xf numFmtId="15" fontId="7" fillId="3" borderId="23" xfId="0" applyNumberFormat="1" applyFont="1" applyFill="1" applyBorder="1"/>
    <xf numFmtId="0" fontId="5" fillId="3" borderId="22" xfId="0" applyFont="1" applyFill="1" applyBorder="1" applyAlignment="1">
      <alignment horizontal="center"/>
    </xf>
    <xf numFmtId="0" fontId="5" fillId="3" borderId="21" xfId="0" applyFont="1" applyFill="1" applyBorder="1" applyAlignment="1">
      <alignment horizontal="center"/>
    </xf>
    <xf numFmtId="0" fontId="5" fillId="3" borderId="36" xfId="0" applyFont="1" applyFill="1" applyBorder="1" applyAlignment="1">
      <alignment horizontal="center"/>
    </xf>
    <xf numFmtId="0" fontId="2" fillId="5" borderId="37" xfId="0" applyFont="1" applyFill="1" applyBorder="1"/>
    <xf numFmtId="0" fontId="0" fillId="5" borderId="38" xfId="0" applyFill="1" applyBorder="1"/>
    <xf numFmtId="0" fontId="5" fillId="3" borderId="34" xfId="0" applyFont="1" applyFill="1" applyBorder="1" applyAlignment="1">
      <alignment horizontal="center"/>
    </xf>
    <xf numFmtId="0" fontId="5" fillId="3" borderId="33" xfId="0" applyFont="1" applyFill="1" applyBorder="1" applyAlignment="1">
      <alignment horizontal="center"/>
    </xf>
    <xf numFmtId="0" fontId="5" fillId="3" borderId="39" xfId="0" applyFont="1" applyFill="1" applyBorder="1" applyAlignment="1">
      <alignment horizontal="center"/>
    </xf>
    <xf numFmtId="4" fontId="0" fillId="2" borderId="0" xfId="0" applyNumberFormat="1" applyFill="1"/>
    <xf numFmtId="0" fontId="2" fillId="5" borderId="24" xfId="0" applyFont="1" applyFill="1" applyBorder="1"/>
    <xf numFmtId="0" fontId="0" fillId="5" borderId="25" xfId="0" applyFill="1" applyBorder="1"/>
    <xf numFmtId="0" fontId="0" fillId="5" borderId="26" xfId="0" applyFill="1" applyBorder="1"/>
    <xf numFmtId="166" fontId="0" fillId="2" borderId="0" xfId="0" applyNumberFormat="1" applyFill="1"/>
    <xf numFmtId="0" fontId="0" fillId="5" borderId="31" xfId="0" applyFill="1" applyBorder="1"/>
    <xf numFmtId="164" fontId="5" fillId="3" borderId="0" xfId="1" applyNumberFormat="1" applyFont="1" applyFill="1" applyBorder="1" applyAlignment="1">
      <alignment horizontal="center"/>
    </xf>
    <xf numFmtId="164" fontId="5" fillId="3" borderId="5" xfId="1" applyNumberFormat="1" applyFont="1" applyFill="1" applyBorder="1" applyAlignment="1">
      <alignment horizontal="center"/>
    </xf>
    <xf numFmtId="164" fontId="5" fillId="3" borderId="42" xfId="1" applyNumberFormat="1" applyFont="1" applyFill="1" applyBorder="1" applyAlignment="1"/>
    <xf numFmtId="164" fontId="5" fillId="3" borderId="0" xfId="1" applyNumberFormat="1" applyFont="1" applyFill="1" applyBorder="1" applyAlignment="1">
      <alignment horizontal="right"/>
    </xf>
    <xf numFmtId="164" fontId="5" fillId="3" borderId="32" xfId="1" applyNumberFormat="1" applyFont="1" applyFill="1" applyBorder="1" applyAlignment="1"/>
    <xf numFmtId="164" fontId="5" fillId="0" borderId="0" xfId="1" applyNumberFormat="1" applyFont="1" applyFill="1" applyBorder="1" applyAlignment="1">
      <alignment horizontal="right"/>
    </xf>
    <xf numFmtId="164" fontId="0" fillId="2" borderId="0" xfId="1" applyNumberFormat="1" applyFont="1" applyFill="1"/>
    <xf numFmtId="164" fontId="1" fillId="3" borderId="5" xfId="1" applyNumberFormat="1" applyFont="1" applyFill="1" applyBorder="1" applyAlignment="1"/>
    <xf numFmtId="0" fontId="0" fillId="5" borderId="27" xfId="0" applyFill="1" applyBorder="1"/>
    <xf numFmtId="0" fontId="0" fillId="5" borderId="18" xfId="0" applyFill="1" applyBorder="1" applyAlignment="1">
      <alignment horizontal="left" indent="1"/>
    </xf>
    <xf numFmtId="0" fontId="0" fillId="5" borderId="19" xfId="0" applyFill="1" applyBorder="1"/>
    <xf numFmtId="0" fontId="0" fillId="5" borderId="20" xfId="0" applyFill="1" applyBorder="1"/>
    <xf numFmtId="164" fontId="0" fillId="3" borderId="5" xfId="1" applyNumberFormat="1" applyFont="1" applyFill="1" applyBorder="1" applyAlignment="1"/>
    <xf numFmtId="0" fontId="0" fillId="5" borderId="4" xfId="0" applyFill="1" applyBorder="1" applyAlignment="1">
      <alignment horizontal="left" indent="2"/>
    </xf>
    <xf numFmtId="164" fontId="0" fillId="3" borderId="0" xfId="1" applyNumberFormat="1" applyFont="1" applyFill="1" applyBorder="1" applyAlignment="1">
      <alignment horizontal="right"/>
    </xf>
    <xf numFmtId="164" fontId="5" fillId="3" borderId="19" xfId="1" applyNumberFormat="1" applyFont="1" applyFill="1" applyBorder="1" applyAlignment="1"/>
    <xf numFmtId="164" fontId="0" fillId="3" borderId="43" xfId="1" applyNumberFormat="1" applyFont="1" applyFill="1" applyBorder="1" applyAlignment="1"/>
    <xf numFmtId="0" fontId="2" fillId="5" borderId="24" xfId="0" applyFont="1" applyFill="1" applyBorder="1" applyAlignment="1">
      <alignment horizontal="left"/>
    </xf>
    <xf numFmtId="164" fontId="1" fillId="3" borderId="5" xfId="1" applyNumberFormat="1" applyFont="1" applyFill="1" applyBorder="1" applyAlignment="1">
      <alignment horizontal="right"/>
    </xf>
    <xf numFmtId="164" fontId="1" fillId="3" borderId="0" xfId="1" applyNumberFormat="1" applyFont="1" applyFill="1" applyBorder="1" applyAlignment="1">
      <alignment horizontal="right"/>
    </xf>
    <xf numFmtId="164" fontId="1" fillId="3" borderId="0" xfId="1" applyNumberFormat="1" applyFont="1" applyFill="1" applyBorder="1" applyAlignment="1"/>
    <xf numFmtId="164" fontId="5" fillId="3" borderId="19" xfId="1" applyNumberFormat="1" applyFont="1" applyFill="1" applyBorder="1" applyAlignment="1">
      <alignment horizontal="center"/>
    </xf>
    <xf numFmtId="164" fontId="1" fillId="3" borderId="43" xfId="1" applyNumberFormat="1" applyFont="1" applyFill="1" applyBorder="1" applyAlignment="1">
      <alignment horizontal="right"/>
    </xf>
    <xf numFmtId="0" fontId="2" fillId="5" borderId="4" xfId="0" applyFont="1" applyFill="1" applyBorder="1" applyAlignment="1">
      <alignment horizontal="left"/>
    </xf>
    <xf numFmtId="0" fontId="0" fillId="5" borderId="6" xfId="0" applyFill="1" applyBorder="1" applyAlignment="1">
      <alignment horizontal="left" indent="1"/>
    </xf>
    <xf numFmtId="0" fontId="0" fillId="5" borderId="7" xfId="0" applyFill="1" applyBorder="1"/>
    <xf numFmtId="0" fontId="0" fillId="3" borderId="8" xfId="0" applyFill="1" applyBorder="1"/>
    <xf numFmtId="0" fontId="0" fillId="3" borderId="0" xfId="0" applyFill="1" applyAlignment="1">
      <alignment horizontal="left" indent="1"/>
    </xf>
    <xf numFmtId="43" fontId="0" fillId="2" borderId="0" xfId="1" applyFont="1" applyFill="1"/>
    <xf numFmtId="0" fontId="8" fillId="5" borderId="25" xfId="0" applyFont="1" applyFill="1" applyBorder="1" applyAlignment="1">
      <alignment horizontal="center"/>
    </xf>
    <xf numFmtId="0" fontId="8" fillId="5" borderId="26" xfId="0" applyFont="1" applyFill="1" applyBorder="1" applyAlignment="1">
      <alignment horizontal="center"/>
    </xf>
    <xf numFmtId="164" fontId="0" fillId="3" borderId="5" xfId="0" applyNumberFormat="1" applyFill="1" applyBorder="1"/>
    <xf numFmtId="43" fontId="2" fillId="2" borderId="0" xfId="1" applyFont="1" applyFill="1"/>
    <xf numFmtId="0" fontId="0" fillId="5" borderId="45" xfId="0" applyFill="1" applyBorder="1"/>
    <xf numFmtId="164" fontId="0" fillId="3" borderId="8" xfId="1" applyNumberFormat="1" applyFont="1" applyFill="1" applyBorder="1" applyAlignment="1"/>
    <xf numFmtId="43" fontId="0" fillId="3" borderId="0" xfId="1" applyFont="1" applyFill="1" applyBorder="1" applyAlignment="1">
      <alignment horizontal="right"/>
    </xf>
    <xf numFmtId="43" fontId="0" fillId="3" borderId="0" xfId="1" applyFont="1" applyFill="1" applyBorder="1" applyAlignment="1"/>
    <xf numFmtId="0" fontId="2" fillId="5" borderId="18" xfId="0" applyFont="1" applyFill="1" applyBorder="1" applyAlignment="1">
      <alignment horizontal="left"/>
    </xf>
    <xf numFmtId="0" fontId="2" fillId="5" borderId="30" xfId="0" applyFont="1" applyFill="1" applyBorder="1" applyAlignment="1">
      <alignment horizontal="left"/>
    </xf>
    <xf numFmtId="0" fontId="2" fillId="5" borderId="6" xfId="0" applyFont="1" applyFill="1" applyBorder="1" applyAlignment="1">
      <alignment horizontal="left"/>
    </xf>
    <xf numFmtId="0" fontId="2" fillId="5" borderId="45" xfId="0" applyFont="1" applyFill="1" applyBorder="1"/>
    <xf numFmtId="0" fontId="8" fillId="7" borderId="4" xfId="0" applyFont="1" applyFill="1" applyBorder="1" applyAlignment="1">
      <alignment horizontal="center"/>
    </xf>
    <xf numFmtId="0" fontId="8" fillId="7" borderId="0" xfId="0" applyFont="1" applyFill="1" applyAlignment="1">
      <alignment horizontal="center"/>
    </xf>
    <xf numFmtId="0" fontId="5" fillId="3" borderId="41" xfId="0" applyFont="1" applyFill="1" applyBorder="1"/>
    <xf numFmtId="0" fontId="5" fillId="3" borderId="5" xfId="0" applyFont="1" applyFill="1" applyBorder="1"/>
    <xf numFmtId="0" fontId="0" fillId="5" borderId="24" xfId="0" applyFill="1" applyBorder="1" applyAlignment="1">
      <alignment horizontal="left" indent="1"/>
    </xf>
    <xf numFmtId="0" fontId="2" fillId="5" borderId="25" xfId="0" applyFont="1" applyFill="1" applyBorder="1" applyAlignment="1">
      <alignment horizontal="right"/>
    </xf>
    <xf numFmtId="0" fontId="2" fillId="3" borderId="5" xfId="0" applyFont="1" applyFill="1" applyBorder="1" applyAlignment="1">
      <alignment horizontal="right"/>
    </xf>
    <xf numFmtId="0" fontId="2" fillId="5" borderId="0" xfId="0" applyFont="1" applyFill="1" applyAlignment="1">
      <alignment horizontal="right"/>
    </xf>
    <xf numFmtId="0" fontId="2" fillId="5" borderId="19" xfId="0" applyFont="1" applyFill="1" applyBorder="1" applyAlignment="1">
      <alignment horizontal="right"/>
    </xf>
    <xf numFmtId="0" fontId="2" fillId="3" borderId="41" xfId="0" applyFont="1" applyFill="1" applyBorder="1" applyAlignment="1">
      <alignment horizontal="right"/>
    </xf>
    <xf numFmtId="0" fontId="2" fillId="5" borderId="7" xfId="0" applyFont="1" applyFill="1" applyBorder="1" applyAlignment="1">
      <alignment horizontal="right"/>
    </xf>
    <xf numFmtId="164" fontId="5" fillId="3" borderId="27" xfId="1" applyNumberFormat="1" applyFont="1" applyFill="1" applyBorder="1" applyAlignment="1"/>
    <xf numFmtId="164" fontId="5" fillId="3" borderId="20" xfId="1" applyNumberFormat="1" applyFont="1" applyFill="1" applyBorder="1" applyAlignment="1"/>
    <xf numFmtId="164" fontId="5" fillId="3" borderId="43" xfId="1" applyNumberFormat="1" applyFont="1" applyFill="1" applyBorder="1" applyAlignment="1">
      <alignment horizontal="center"/>
    </xf>
    <xf numFmtId="164" fontId="5" fillId="3" borderId="27" xfId="1" applyNumberFormat="1" applyFont="1" applyFill="1" applyBorder="1" applyAlignment="1">
      <alignment horizontal="center"/>
    </xf>
    <xf numFmtId="164" fontId="5" fillId="3" borderId="20" xfId="1" applyNumberFormat="1" applyFont="1" applyFill="1" applyBorder="1" applyAlignment="1">
      <alignment horizontal="right"/>
    </xf>
    <xf numFmtId="164" fontId="5" fillId="3" borderId="43" xfId="1" applyNumberFormat="1" applyFont="1" applyFill="1" applyBorder="1" applyAlignment="1">
      <alignment horizontal="right"/>
    </xf>
    <xf numFmtId="164" fontId="5" fillId="3" borderId="0" xfId="1" applyNumberFormat="1" applyFont="1" applyFill="1" applyBorder="1" applyAlignment="1"/>
    <xf numFmtId="164" fontId="5" fillId="3" borderId="27" xfId="1" applyNumberFormat="1" applyFont="1" applyFill="1" applyBorder="1" applyAlignment="1">
      <alignment horizontal="right"/>
    </xf>
    <xf numFmtId="164" fontId="5" fillId="3" borderId="5" xfId="1" applyNumberFormat="1" applyFont="1" applyFill="1" applyBorder="1" applyAlignment="1">
      <alignment horizontal="right"/>
    </xf>
    <xf numFmtId="164" fontId="5" fillId="0" borderId="0" xfId="1" applyNumberFormat="1" applyFont="1" applyFill="1" applyBorder="1" applyAlignment="1">
      <alignment horizontal="center"/>
    </xf>
    <xf numFmtId="164" fontId="5" fillId="0" borderId="27" xfId="1" applyNumberFormat="1" applyFont="1" applyFill="1" applyBorder="1" applyAlignment="1"/>
    <xf numFmtId="164" fontId="5" fillId="0" borderId="0" xfId="1" applyNumberFormat="1" applyFont="1" applyFill="1" applyBorder="1" applyAlignment="1"/>
    <xf numFmtId="164" fontId="5" fillId="0" borderId="5" xfId="1" applyNumberFormat="1" applyFont="1" applyFill="1" applyBorder="1" applyAlignment="1">
      <alignment horizontal="center"/>
    </xf>
    <xf numFmtId="164" fontId="5" fillId="0" borderId="20" xfId="1" applyNumberFormat="1" applyFont="1" applyFill="1" applyBorder="1" applyAlignment="1"/>
    <xf numFmtId="164" fontId="5" fillId="0" borderId="42" xfId="1" applyNumberFormat="1" applyFont="1" applyFill="1" applyBorder="1" applyAlignment="1"/>
    <xf numFmtId="0" fontId="2" fillId="7" borderId="37" xfId="0" applyFont="1" applyFill="1" applyBorder="1" applyAlignment="1">
      <alignment horizontal="left"/>
    </xf>
    <xf numFmtId="0" fontId="0" fillId="7" borderId="38" xfId="0" applyFill="1" applyBorder="1"/>
    <xf numFmtId="0" fontId="0" fillId="7" borderId="46" xfId="0" applyFill="1" applyBorder="1"/>
    <xf numFmtId="0" fontId="8" fillId="5" borderId="29" xfId="0" applyFont="1" applyFill="1" applyBorder="1" applyAlignment="1">
      <alignment horizontal="center"/>
    </xf>
    <xf numFmtId="0" fontId="8" fillId="5" borderId="31" xfId="0" applyFont="1" applyFill="1" applyBorder="1" applyAlignment="1">
      <alignment horizontal="center"/>
    </xf>
    <xf numFmtId="0" fontId="2" fillId="5" borderId="37" xfId="0" applyFont="1" applyFill="1" applyBorder="1" applyAlignment="1">
      <alignment horizontal="left"/>
    </xf>
    <xf numFmtId="0" fontId="8" fillId="5" borderId="38" xfId="0" applyFont="1" applyFill="1" applyBorder="1" applyAlignment="1">
      <alignment horizontal="center"/>
    </xf>
    <xf numFmtId="0" fontId="8" fillId="5" borderId="46" xfId="0" applyFont="1" applyFill="1" applyBorder="1" applyAlignment="1">
      <alignment horizontal="center"/>
    </xf>
    <xf numFmtId="0" fontId="2" fillId="3" borderId="0" xfId="0" applyFont="1" applyFill="1" applyAlignment="1">
      <alignment horizontal="left"/>
    </xf>
    <xf numFmtId="0" fontId="8" fillId="3" borderId="0" xfId="0" applyFont="1" applyFill="1" applyAlignment="1">
      <alignment horizontal="center"/>
    </xf>
    <xf numFmtId="0" fontId="12" fillId="3" borderId="0" xfId="0" applyFont="1" applyFill="1" applyAlignment="1">
      <alignment horizontal="right"/>
    </xf>
    <xf numFmtId="0" fontId="2" fillId="5" borderId="31" xfId="0" applyFont="1" applyFill="1" applyBorder="1" applyAlignment="1">
      <alignment horizontal="center"/>
    </xf>
    <xf numFmtId="0" fontId="2" fillId="5" borderId="29" xfId="0" applyFont="1" applyFill="1" applyBorder="1" applyAlignment="1">
      <alignment horizontal="center"/>
    </xf>
    <xf numFmtId="0" fontId="2" fillId="5" borderId="25" xfId="0" applyFont="1" applyFill="1" applyBorder="1"/>
    <xf numFmtId="167" fontId="7" fillId="3" borderId="0" xfId="0" applyNumberFormat="1" applyFont="1" applyFill="1"/>
    <xf numFmtId="167" fontId="7" fillId="3" borderId="5" xfId="0" applyNumberFormat="1" applyFont="1" applyFill="1" applyBorder="1"/>
    <xf numFmtId="0" fontId="6" fillId="5" borderId="25" xfId="0" applyFont="1" applyFill="1" applyBorder="1"/>
    <xf numFmtId="0" fontId="6" fillId="5" borderId="26" xfId="0" applyFont="1" applyFill="1" applyBorder="1"/>
    <xf numFmtId="10" fontId="0" fillId="2" borderId="0" xfId="0" applyNumberFormat="1" applyFill="1"/>
    <xf numFmtId="0" fontId="8" fillId="5" borderId="7" xfId="0" applyFont="1" applyFill="1" applyBorder="1" applyAlignment="1">
      <alignment horizontal="center"/>
    </xf>
    <xf numFmtId="0" fontId="8" fillId="5" borderId="45" xfId="0" applyFont="1" applyFill="1" applyBorder="1" applyAlignment="1">
      <alignment horizontal="center"/>
    </xf>
    <xf numFmtId="0" fontId="0" fillId="3" borderId="6" xfId="0" applyFill="1" applyBorder="1"/>
    <xf numFmtId="0" fontId="0" fillId="3" borderId="7" xfId="0" applyFill="1" applyBorder="1"/>
    <xf numFmtId="0" fontId="2" fillId="2" borderId="0" xfId="0" applyFont="1" applyFill="1"/>
    <xf numFmtId="167" fontId="0" fillId="2" borderId="0" xfId="0" applyNumberFormat="1" applyFill="1"/>
    <xf numFmtId="43" fontId="0" fillId="2" borderId="0" xfId="0" applyNumberFormat="1" applyFill="1"/>
    <xf numFmtId="16" fontId="0" fillId="2" borderId="0" xfId="0" applyNumberFormat="1" applyFill="1"/>
    <xf numFmtId="0" fontId="2" fillId="5" borderId="4" xfId="0" applyFont="1" applyFill="1" applyBorder="1" applyAlignment="1">
      <alignment horizontal="left" vertical="center"/>
    </xf>
    <xf numFmtId="0" fontId="2" fillId="5" borderId="38" xfId="0" applyFont="1" applyFill="1" applyBorder="1"/>
    <xf numFmtId="0" fontId="0" fillId="5" borderId="25" xfId="0" applyFill="1" applyBorder="1" applyAlignment="1">
      <alignment horizontal="center"/>
    </xf>
    <xf numFmtId="0" fontId="0" fillId="5" borderId="26" xfId="0" applyFill="1" applyBorder="1" applyAlignment="1">
      <alignment horizontal="center"/>
    </xf>
    <xf numFmtId="0" fontId="0" fillId="5" borderId="0" xfId="0" applyFill="1" applyAlignment="1">
      <alignment horizontal="center"/>
    </xf>
    <xf numFmtId="0" fontId="0" fillId="5" borderId="4" xfId="0" applyFill="1" applyBorder="1" applyAlignment="1">
      <alignment horizontal="left"/>
    </xf>
    <xf numFmtId="164" fontId="6" fillId="3" borderId="5" xfId="1" applyNumberFormat="1" applyFont="1" applyFill="1" applyBorder="1" applyAlignment="1">
      <alignment horizontal="center"/>
    </xf>
    <xf numFmtId="164" fontId="6" fillId="3" borderId="43" xfId="1" applyNumberFormat="1" applyFont="1" applyFill="1" applyBorder="1" applyAlignment="1">
      <alignment horizontal="center"/>
    </xf>
    <xf numFmtId="0" fontId="0" fillId="5" borderId="27" xfId="0" applyFill="1" applyBorder="1" applyAlignment="1">
      <alignment horizontal="center"/>
    </xf>
    <xf numFmtId="164" fontId="0" fillId="3" borderId="5" xfId="1" applyNumberFormat="1" applyFont="1" applyFill="1" applyBorder="1" applyAlignment="1">
      <alignment horizontal="center"/>
    </xf>
    <xf numFmtId="0" fontId="0" fillId="5" borderId="19" xfId="0" applyFill="1" applyBorder="1" applyAlignment="1">
      <alignment horizontal="center"/>
    </xf>
    <xf numFmtId="0" fontId="0" fillId="5" borderId="20" xfId="0" applyFill="1" applyBorder="1" applyAlignment="1">
      <alignment horizontal="center"/>
    </xf>
    <xf numFmtId="9" fontId="0" fillId="2" borderId="0" xfId="2" applyFont="1" applyFill="1"/>
    <xf numFmtId="0" fontId="0" fillId="5" borderId="29" xfId="0" applyFill="1" applyBorder="1" applyAlignment="1">
      <alignment horizontal="center"/>
    </xf>
    <xf numFmtId="0" fontId="0" fillId="5" borderId="31" xfId="0" applyFill="1" applyBorder="1" applyAlignment="1">
      <alignment horizontal="center"/>
    </xf>
    <xf numFmtId="164" fontId="7" fillId="3" borderId="5" xfId="1" applyNumberFormat="1" applyFont="1" applyFill="1" applyBorder="1" applyAlignment="1">
      <alignment horizontal="right"/>
    </xf>
    <xf numFmtId="0" fontId="0" fillId="5" borderId="18" xfId="0" applyFill="1" applyBorder="1" applyAlignment="1">
      <alignment horizontal="left"/>
    </xf>
    <xf numFmtId="164" fontId="7" fillId="3" borderId="43" xfId="1" applyNumberFormat="1" applyFont="1" applyFill="1" applyBorder="1" applyAlignment="1">
      <alignment horizontal="right"/>
    </xf>
    <xf numFmtId="0" fontId="2" fillId="5" borderId="38" xfId="0" applyFont="1" applyFill="1" applyBorder="1" applyAlignment="1">
      <alignment horizontal="center"/>
    </xf>
    <xf numFmtId="0" fontId="2" fillId="5" borderId="46" xfId="0" applyFont="1" applyFill="1" applyBorder="1" applyAlignment="1">
      <alignment horizontal="center"/>
    </xf>
    <xf numFmtId="0" fontId="0" fillId="3" borderId="0" xfId="0" applyFill="1" applyAlignment="1">
      <alignment horizontal="center"/>
    </xf>
    <xf numFmtId="0" fontId="8" fillId="5" borderId="30" xfId="0" applyFont="1" applyFill="1" applyBorder="1" applyAlignment="1">
      <alignment horizontal="left"/>
    </xf>
    <xf numFmtId="0" fontId="2" fillId="5" borderId="25" xfId="0" applyFont="1" applyFill="1" applyBorder="1" applyAlignment="1">
      <alignment horizontal="center"/>
    </xf>
    <xf numFmtId="0" fontId="2" fillId="5" borderId="0" xfId="0" applyFont="1" applyFill="1" applyAlignment="1">
      <alignment horizontal="center"/>
    </xf>
    <xf numFmtId="164" fontId="6" fillId="3" borderId="27" xfId="1" applyNumberFormat="1" applyFont="1" applyFill="1" applyBorder="1" applyAlignment="1">
      <alignment horizontal="center"/>
    </xf>
    <xf numFmtId="0" fontId="13" fillId="5" borderId="4" xfId="0" applyFont="1" applyFill="1" applyBorder="1" applyAlignment="1">
      <alignment horizontal="left" indent="1"/>
    </xf>
    <xf numFmtId="0" fontId="13" fillId="5" borderId="18" xfId="0" applyFont="1" applyFill="1" applyBorder="1" applyAlignment="1">
      <alignment horizontal="left" indent="1"/>
    </xf>
    <xf numFmtId="0" fontId="2" fillId="5" borderId="19" xfId="0" applyFont="1" applyFill="1" applyBorder="1" applyAlignment="1">
      <alignment horizontal="center"/>
    </xf>
    <xf numFmtId="164" fontId="6" fillId="3" borderId="20" xfId="1" applyNumberFormat="1" applyFont="1" applyFill="1" applyBorder="1" applyAlignment="1">
      <alignment horizontal="center"/>
    </xf>
    <xf numFmtId="0" fontId="14" fillId="5" borderId="24" xfId="0" applyFont="1" applyFill="1" applyBorder="1" applyAlignment="1">
      <alignment horizontal="left"/>
    </xf>
    <xf numFmtId="0" fontId="2" fillId="5" borderId="7" xfId="0" applyFont="1" applyFill="1" applyBorder="1" applyAlignment="1">
      <alignment horizontal="center"/>
    </xf>
    <xf numFmtId="0" fontId="0" fillId="5" borderId="30" xfId="0" applyFill="1" applyBorder="1" applyAlignment="1">
      <alignment horizontal="center"/>
    </xf>
    <xf numFmtId="0" fontId="2" fillId="5" borderId="22" xfId="0" applyFont="1" applyFill="1" applyBorder="1" applyAlignment="1">
      <alignment horizontal="left"/>
    </xf>
    <xf numFmtId="0" fontId="0" fillId="5" borderId="42" xfId="0" applyFill="1" applyBorder="1" applyAlignment="1">
      <alignment horizontal="left"/>
    </xf>
    <xf numFmtId="168" fontId="0" fillId="2" borderId="0" xfId="1" applyNumberFormat="1" applyFont="1" applyFill="1"/>
    <xf numFmtId="167" fontId="7" fillId="3" borderId="22" xfId="0" applyNumberFormat="1" applyFont="1" applyFill="1" applyBorder="1" applyAlignment="1">
      <alignment horizontal="center"/>
    </xf>
    <xf numFmtId="167" fontId="7" fillId="3" borderId="29" xfId="0" applyNumberFormat="1" applyFont="1" applyFill="1" applyBorder="1" applyAlignment="1">
      <alignment horizontal="center"/>
    </xf>
    <xf numFmtId="167" fontId="7" fillId="3" borderId="36" xfId="0" applyNumberFormat="1" applyFont="1" applyFill="1" applyBorder="1" applyAlignment="1">
      <alignment horizontal="center"/>
    </xf>
    <xf numFmtId="0" fontId="5" fillId="3" borderId="32" xfId="0" applyFont="1" applyFill="1" applyBorder="1" applyAlignment="1">
      <alignment horizontal="center"/>
    </xf>
    <xf numFmtId="0" fontId="5" fillId="3" borderId="20" xfId="0" applyFont="1" applyFill="1" applyBorder="1" applyAlignment="1">
      <alignment horizontal="center"/>
    </xf>
    <xf numFmtId="0" fontId="7" fillId="3" borderId="32" xfId="0" applyFont="1" applyFill="1" applyBorder="1" applyAlignment="1">
      <alignment horizontal="center"/>
    </xf>
    <xf numFmtId="0" fontId="7" fillId="3" borderId="20" xfId="0" applyFont="1" applyFill="1" applyBorder="1" applyAlignment="1">
      <alignment horizontal="center"/>
    </xf>
    <xf numFmtId="167" fontId="7" fillId="3" borderId="19" xfId="1" applyNumberFormat="1" applyFont="1" applyFill="1" applyBorder="1" applyAlignment="1">
      <alignment horizontal="center"/>
    </xf>
    <xf numFmtId="0" fontId="2" fillId="5" borderId="29" xfId="0" applyFont="1" applyFill="1" applyBorder="1" applyAlignment="1">
      <alignment horizontal="center"/>
    </xf>
    <xf numFmtId="16" fontId="5" fillId="3" borderId="42" xfId="0" applyNumberFormat="1" applyFont="1" applyFill="1" applyBorder="1" applyAlignment="1">
      <alignment horizontal="center"/>
    </xf>
    <xf numFmtId="0" fontId="5" fillId="3" borderId="27" xfId="0" applyFont="1" applyFill="1" applyBorder="1" applyAlignment="1">
      <alignment horizontal="center"/>
    </xf>
    <xf numFmtId="10" fontId="7" fillId="3" borderId="42" xfId="0" applyNumberFormat="1" applyFont="1" applyFill="1" applyBorder="1" applyAlignment="1">
      <alignment horizontal="center"/>
    </xf>
    <xf numFmtId="0" fontId="7" fillId="3" borderId="27" xfId="0" applyFont="1" applyFill="1" applyBorder="1" applyAlignment="1">
      <alignment horizontal="center"/>
    </xf>
    <xf numFmtId="167" fontId="7" fillId="3" borderId="0" xfId="1" applyNumberFormat="1" applyFont="1" applyFill="1" applyBorder="1" applyAlignment="1">
      <alignment horizontal="center"/>
    </xf>
    <xf numFmtId="167" fontId="7" fillId="3" borderId="0" xfId="0" applyNumberFormat="1" applyFont="1" applyFill="1" applyAlignment="1">
      <alignment horizontal="center"/>
    </xf>
    <xf numFmtId="167" fontId="7" fillId="3" borderId="5" xfId="0" applyNumberFormat="1" applyFont="1" applyFill="1" applyBorder="1" applyAlignment="1">
      <alignment horizontal="center"/>
    </xf>
    <xf numFmtId="14" fontId="5" fillId="3" borderId="22" xfId="0" applyNumberFormat="1" applyFont="1" applyFill="1" applyBorder="1" applyAlignment="1">
      <alignment horizontal="center"/>
    </xf>
    <xf numFmtId="14" fontId="5" fillId="3" borderId="31" xfId="0" applyNumberFormat="1" applyFont="1" applyFill="1" applyBorder="1" applyAlignment="1">
      <alignment horizontal="center"/>
    </xf>
    <xf numFmtId="10" fontId="5" fillId="3" borderId="22" xfId="0" applyNumberFormat="1" applyFont="1" applyFill="1" applyBorder="1" applyAlignment="1">
      <alignment horizontal="center"/>
    </xf>
    <xf numFmtId="10" fontId="5" fillId="3" borderId="31" xfId="0" applyNumberFormat="1" applyFont="1" applyFill="1" applyBorder="1" applyAlignment="1">
      <alignment horizontal="center"/>
    </xf>
    <xf numFmtId="167" fontId="7" fillId="3" borderId="31" xfId="0" applyNumberFormat="1" applyFont="1" applyFill="1" applyBorder="1" applyAlignment="1">
      <alignment horizontal="center"/>
    </xf>
    <xf numFmtId="0" fontId="2" fillId="8" borderId="28" xfId="0" applyFont="1" applyFill="1" applyBorder="1" applyAlignment="1">
      <alignment horizontal="center"/>
    </xf>
    <xf numFmtId="0" fontId="2" fillId="8" borderId="26" xfId="0" applyFont="1" applyFill="1" applyBorder="1" applyAlignment="1">
      <alignment horizontal="center"/>
    </xf>
    <xf numFmtId="0" fontId="6" fillId="8" borderId="28" xfId="0" applyFont="1" applyFill="1" applyBorder="1" applyAlignment="1">
      <alignment horizontal="center"/>
    </xf>
    <xf numFmtId="0" fontId="6" fillId="8" borderId="26" xfId="0" applyFont="1" applyFill="1" applyBorder="1" applyAlignment="1">
      <alignment horizontal="center"/>
    </xf>
    <xf numFmtId="167" fontId="7" fillId="8" borderId="0" xfId="1" applyNumberFormat="1" applyFont="1" applyFill="1" applyBorder="1" applyAlignment="1">
      <alignment horizontal="center"/>
    </xf>
    <xf numFmtId="167" fontId="7" fillId="8" borderId="25" xfId="0" applyNumberFormat="1" applyFont="1" applyFill="1" applyBorder="1" applyAlignment="1">
      <alignment horizontal="center"/>
    </xf>
    <xf numFmtId="167" fontId="7" fillId="8" borderId="41" xfId="0" applyNumberFormat="1"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6" borderId="3" xfId="0" applyFont="1" applyFill="1" applyBorder="1" applyAlignment="1">
      <alignment horizontal="center"/>
    </xf>
    <xf numFmtId="10" fontId="7" fillId="3" borderId="22" xfId="0" applyNumberFormat="1" applyFont="1" applyFill="1" applyBorder="1" applyAlignment="1">
      <alignment horizontal="center" vertical="center"/>
    </xf>
    <xf numFmtId="10" fontId="7" fillId="3" borderId="29" xfId="0" applyNumberFormat="1" applyFont="1" applyFill="1" applyBorder="1" applyAlignment="1">
      <alignment horizontal="center" vertical="center"/>
    </xf>
    <xf numFmtId="10" fontId="7" fillId="3" borderId="36" xfId="0" applyNumberFormat="1" applyFont="1" applyFill="1" applyBorder="1" applyAlignment="1">
      <alignment horizontal="center" vertical="center"/>
    </xf>
    <xf numFmtId="0" fontId="2" fillId="5" borderId="22" xfId="0" applyFont="1" applyFill="1" applyBorder="1" applyAlignment="1">
      <alignment horizontal="center" vertical="center"/>
    </xf>
    <xf numFmtId="0" fontId="2" fillId="5" borderId="31" xfId="0" applyFont="1" applyFill="1" applyBorder="1" applyAlignment="1">
      <alignment horizontal="center" vertical="center"/>
    </xf>
    <xf numFmtId="0" fontId="2" fillId="5" borderId="22" xfId="0" applyFont="1" applyFill="1" applyBorder="1" applyAlignment="1">
      <alignment horizontal="center"/>
    </xf>
    <xf numFmtId="0" fontId="2" fillId="5" borderId="31" xfId="0" applyFont="1" applyFill="1" applyBorder="1" applyAlignment="1">
      <alignment horizontal="center"/>
    </xf>
    <xf numFmtId="0" fontId="2" fillId="5" borderId="36" xfId="0" applyFont="1" applyFill="1" applyBorder="1" applyAlignment="1">
      <alignment horizontal="center"/>
    </xf>
    <xf numFmtId="164" fontId="5" fillId="3" borderId="22" xfId="1" applyNumberFormat="1" applyFont="1" applyFill="1" applyBorder="1" applyAlignment="1">
      <alignment horizontal="center"/>
    </xf>
    <xf numFmtId="164" fontId="5" fillId="3" borderId="29" xfId="1" applyNumberFormat="1" applyFont="1" applyFill="1" applyBorder="1" applyAlignment="1">
      <alignment horizontal="center"/>
    </xf>
    <xf numFmtId="164" fontId="5" fillId="3" borderId="36" xfId="1" applyNumberFormat="1" applyFont="1" applyFill="1" applyBorder="1" applyAlignment="1">
      <alignment horizontal="center"/>
    </xf>
    <xf numFmtId="164" fontId="5" fillId="3" borderId="38" xfId="1" applyNumberFormat="1" applyFont="1" applyFill="1" applyBorder="1" applyAlignment="1">
      <alignment horizontal="center"/>
    </xf>
    <xf numFmtId="164" fontId="5" fillId="3" borderId="39" xfId="1" applyNumberFormat="1" applyFont="1" applyFill="1" applyBorder="1" applyAlignment="1">
      <alignment horizontal="center"/>
    </xf>
    <xf numFmtId="164" fontId="5" fillId="3" borderId="34" xfId="1" applyNumberFormat="1" applyFont="1" applyFill="1" applyBorder="1" applyAlignment="1">
      <alignment horizontal="center"/>
    </xf>
    <xf numFmtId="164" fontId="11" fillId="7" borderId="34" xfId="1" applyNumberFormat="1" applyFont="1" applyFill="1" applyBorder="1" applyAlignment="1">
      <alignment horizontal="right"/>
    </xf>
    <xf numFmtId="164" fontId="11" fillId="7" borderId="38" xfId="1" applyNumberFormat="1" applyFont="1" applyFill="1" applyBorder="1" applyAlignment="1">
      <alignment horizontal="right"/>
    </xf>
    <xf numFmtId="164" fontId="11" fillId="7" borderId="46" xfId="1" applyNumberFormat="1" applyFont="1" applyFill="1" applyBorder="1" applyAlignment="1">
      <alignment horizontal="right"/>
    </xf>
    <xf numFmtId="164" fontId="11" fillId="7" borderId="34" xfId="1" applyNumberFormat="1" applyFont="1" applyFill="1" applyBorder="1" applyAlignment="1">
      <alignment horizontal="center"/>
    </xf>
    <xf numFmtId="164" fontId="11" fillId="7" borderId="39" xfId="1" applyNumberFormat="1"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xf numFmtId="0" fontId="8" fillId="6" borderId="40" xfId="0" applyFont="1" applyFill="1" applyBorder="1" applyAlignment="1">
      <alignment horizontal="center"/>
    </xf>
    <xf numFmtId="164" fontId="5" fillId="0" borderId="42" xfId="1" applyNumberFormat="1" applyFont="1" applyFill="1" applyBorder="1" applyAlignment="1">
      <alignment horizontal="right"/>
    </xf>
    <xf numFmtId="164" fontId="5" fillId="0" borderId="0" xfId="1" applyNumberFormat="1" applyFont="1" applyFill="1" applyBorder="1" applyAlignment="1">
      <alignment horizontal="right"/>
    </xf>
    <xf numFmtId="164" fontId="5" fillId="0" borderId="42" xfId="1" applyNumberFormat="1" applyFont="1" applyFill="1" applyBorder="1" applyAlignment="1">
      <alignment horizontal="center"/>
    </xf>
    <xf numFmtId="164" fontId="5" fillId="0" borderId="0" xfId="1" applyNumberFormat="1" applyFont="1" applyFill="1" applyBorder="1" applyAlignment="1">
      <alignment horizontal="center"/>
    </xf>
    <xf numFmtId="164" fontId="5" fillId="0" borderId="28" xfId="1" applyNumberFormat="1" applyFont="1" applyFill="1" applyBorder="1" applyAlignment="1">
      <alignment horizontal="right"/>
    </xf>
    <xf numFmtId="164" fontId="5" fillId="0" borderId="25" xfId="1" applyNumberFormat="1" applyFont="1" applyFill="1" applyBorder="1" applyAlignment="1">
      <alignment horizontal="right"/>
    </xf>
    <xf numFmtId="164" fontId="5" fillId="0" borderId="22" xfId="1" applyNumberFormat="1" applyFont="1" applyFill="1" applyBorder="1" applyAlignment="1">
      <alignment horizontal="center"/>
    </xf>
    <xf numFmtId="164" fontId="5" fillId="0" borderId="29" xfId="1" applyNumberFormat="1" applyFont="1" applyFill="1" applyBorder="1" applyAlignment="1">
      <alignment horizontal="center"/>
    </xf>
    <xf numFmtId="164" fontId="5" fillId="0" borderId="31" xfId="1" applyNumberFormat="1" applyFont="1" applyFill="1" applyBorder="1" applyAlignment="1">
      <alignment horizontal="center"/>
    </xf>
    <xf numFmtId="164" fontId="5" fillId="0" borderId="36" xfId="1" applyNumberFormat="1" applyFont="1" applyFill="1" applyBorder="1" applyAlignment="1">
      <alignment horizontal="center"/>
    </xf>
    <xf numFmtId="164" fontId="5" fillId="0" borderId="22" xfId="1" applyNumberFormat="1" applyFont="1" applyFill="1" applyBorder="1" applyAlignment="1">
      <alignment horizontal="right"/>
    </xf>
    <xf numFmtId="164" fontId="5" fillId="0" borderId="29" xfId="1" applyNumberFormat="1" applyFont="1" applyFill="1" applyBorder="1" applyAlignment="1">
      <alignment horizontal="right"/>
    </xf>
    <xf numFmtId="164" fontId="5" fillId="0" borderId="31" xfId="1" applyNumberFormat="1" applyFont="1" applyFill="1" applyBorder="1" applyAlignment="1">
      <alignment horizontal="right"/>
    </xf>
    <xf numFmtId="164" fontId="5" fillId="0" borderId="27" xfId="1" applyNumberFormat="1" applyFont="1" applyFill="1" applyBorder="1" applyAlignment="1">
      <alignment horizontal="center"/>
    </xf>
    <xf numFmtId="164" fontId="5" fillId="0" borderId="28" xfId="1" applyNumberFormat="1" applyFont="1" applyFill="1" applyBorder="1" applyAlignment="1">
      <alignment horizontal="center"/>
    </xf>
    <xf numFmtId="164" fontId="5" fillId="0" borderId="41" xfId="1" applyNumberFormat="1" applyFont="1" applyFill="1" applyBorder="1" applyAlignment="1">
      <alignment horizontal="center"/>
    </xf>
    <xf numFmtId="164" fontId="5" fillId="0" borderId="25" xfId="1" applyNumberFormat="1" applyFont="1" applyFill="1" applyBorder="1" applyAlignment="1">
      <alignment horizontal="center"/>
    </xf>
    <xf numFmtId="164" fontId="5" fillId="0" borderId="26" xfId="1" applyNumberFormat="1" applyFont="1" applyFill="1" applyBorder="1" applyAlignment="1">
      <alignment horizontal="center"/>
    </xf>
    <xf numFmtId="164" fontId="5" fillId="0" borderId="32" xfId="1" applyNumberFormat="1" applyFont="1" applyFill="1" applyBorder="1" applyAlignment="1">
      <alignment horizontal="center"/>
    </xf>
    <xf numFmtId="164" fontId="5" fillId="0" borderId="19" xfId="1" applyNumberFormat="1" applyFont="1" applyFill="1" applyBorder="1" applyAlignment="1">
      <alignment horizontal="center"/>
    </xf>
    <xf numFmtId="164" fontId="5" fillId="3" borderId="42" xfId="1" applyNumberFormat="1" applyFont="1" applyFill="1" applyBorder="1" applyAlignment="1">
      <alignment horizontal="right"/>
    </xf>
    <xf numFmtId="164" fontId="5" fillId="3" borderId="0" xfId="1" applyNumberFormat="1" applyFont="1" applyFill="1" applyBorder="1" applyAlignment="1">
      <alignment horizontal="right"/>
    </xf>
    <xf numFmtId="164" fontId="5" fillId="3" borderId="42" xfId="1" applyNumberFormat="1" applyFont="1" applyFill="1" applyBorder="1" applyAlignment="1">
      <alignment horizontal="center"/>
    </xf>
    <xf numFmtId="164" fontId="5" fillId="3" borderId="0" xfId="1" applyNumberFormat="1" applyFont="1" applyFill="1" applyBorder="1" applyAlignment="1">
      <alignment horizontal="center"/>
    </xf>
    <xf numFmtId="164" fontId="5" fillId="0" borderId="21" xfId="1" applyNumberFormat="1" applyFont="1" applyFill="1" applyBorder="1" applyAlignment="1">
      <alignment horizontal="center"/>
    </xf>
    <xf numFmtId="164" fontId="5" fillId="0" borderId="47" xfId="1" applyNumberFormat="1" applyFont="1" applyFill="1" applyBorder="1" applyAlignment="1">
      <alignment horizontal="center"/>
    </xf>
    <xf numFmtId="164" fontId="5" fillId="3" borderId="28" xfId="1" applyNumberFormat="1" applyFont="1" applyFill="1" applyBorder="1" applyAlignment="1">
      <alignment horizontal="right"/>
    </xf>
    <xf numFmtId="164" fontId="5" fillId="3" borderId="25" xfId="1" applyNumberFormat="1" applyFont="1" applyFill="1" applyBorder="1" applyAlignment="1">
      <alignment horizontal="right"/>
    </xf>
    <xf numFmtId="164" fontId="5" fillId="3" borderId="27" xfId="1" applyNumberFormat="1" applyFont="1" applyFill="1" applyBorder="1" applyAlignment="1">
      <alignment horizontal="center"/>
    </xf>
    <xf numFmtId="164" fontId="5" fillId="3" borderId="28" xfId="1" applyNumberFormat="1" applyFont="1" applyFill="1" applyBorder="1" applyAlignment="1">
      <alignment horizontal="center"/>
    </xf>
    <xf numFmtId="164" fontId="5" fillId="3" borderId="41" xfId="1" applyNumberFormat="1" applyFont="1" applyFill="1" applyBorder="1" applyAlignment="1">
      <alignment horizontal="center"/>
    </xf>
    <xf numFmtId="164" fontId="5" fillId="3" borderId="21" xfId="1" applyNumberFormat="1" applyFont="1" applyFill="1" applyBorder="1" applyAlignment="1">
      <alignment horizontal="center"/>
    </xf>
    <xf numFmtId="164" fontId="5" fillId="3" borderId="32" xfId="1" applyNumberFormat="1" applyFont="1" applyFill="1" applyBorder="1" applyAlignment="1">
      <alignment horizontal="right"/>
    </xf>
    <xf numFmtId="164" fontId="5" fillId="3" borderId="19" xfId="1" applyNumberFormat="1" applyFont="1" applyFill="1" applyBorder="1" applyAlignment="1">
      <alignment horizontal="right"/>
    </xf>
    <xf numFmtId="164" fontId="5" fillId="3" borderId="26" xfId="1" applyNumberFormat="1" applyFont="1" applyFill="1" applyBorder="1" applyAlignment="1">
      <alignment horizontal="right"/>
    </xf>
    <xf numFmtId="164" fontId="5" fillId="3" borderId="31" xfId="1" applyNumberFormat="1" applyFont="1" applyFill="1" applyBorder="1" applyAlignment="1">
      <alignment horizontal="center"/>
    </xf>
    <xf numFmtId="164" fontId="7" fillId="3" borderId="42" xfId="1" applyNumberFormat="1" applyFont="1" applyFill="1" applyBorder="1" applyAlignment="1">
      <alignment horizontal="right"/>
    </xf>
    <xf numFmtId="164" fontId="7" fillId="3" borderId="0" xfId="1" applyNumberFormat="1" applyFont="1" applyFill="1" applyBorder="1" applyAlignment="1">
      <alignment horizontal="right"/>
    </xf>
    <xf numFmtId="164" fontId="5" fillId="3" borderId="32" xfId="1" applyNumberFormat="1" applyFont="1" applyFill="1" applyBorder="1" applyAlignment="1">
      <alignment horizontal="center"/>
    </xf>
    <xf numFmtId="164" fontId="5" fillId="3" borderId="19" xfId="1" applyNumberFormat="1" applyFont="1" applyFill="1" applyBorder="1" applyAlignment="1">
      <alignment horizontal="center"/>
    </xf>
    <xf numFmtId="164" fontId="5" fillId="3" borderId="25" xfId="1" applyNumberFormat="1" applyFont="1" applyFill="1" applyBorder="1" applyAlignment="1">
      <alignment horizontal="center"/>
    </xf>
    <xf numFmtId="164" fontId="5" fillId="3" borderId="26" xfId="1" applyNumberFormat="1" applyFont="1" applyFill="1" applyBorder="1" applyAlignment="1">
      <alignment horizontal="center"/>
    </xf>
    <xf numFmtId="164" fontId="5" fillId="3" borderId="20" xfId="1" applyNumberFormat="1" applyFont="1" applyFill="1" applyBorder="1" applyAlignment="1">
      <alignment horizontal="center"/>
    </xf>
    <xf numFmtId="0" fontId="5" fillId="3" borderId="42" xfId="0" applyFont="1" applyFill="1" applyBorder="1" applyAlignment="1">
      <alignment horizontal="right"/>
    </xf>
    <xf numFmtId="0" fontId="5" fillId="3" borderId="0" xfId="0" applyFont="1" applyFill="1" applyAlignment="1">
      <alignment horizontal="right"/>
    </xf>
    <xf numFmtId="0" fontId="10" fillId="3" borderId="32" xfId="0" applyFont="1" applyFill="1" applyBorder="1" applyAlignment="1">
      <alignment horizontal="right"/>
    </xf>
    <xf numFmtId="0" fontId="10" fillId="3" borderId="19" xfId="0" applyFont="1" applyFill="1" applyBorder="1" applyAlignment="1">
      <alignment horizontal="right"/>
    </xf>
    <xf numFmtId="0" fontId="10" fillId="3" borderId="43" xfId="0" applyFont="1" applyFill="1" applyBorder="1" applyAlignment="1">
      <alignment horizontal="right"/>
    </xf>
    <xf numFmtId="43" fontId="5" fillId="3" borderId="28" xfId="0" applyNumberFormat="1" applyFont="1" applyFill="1" applyBorder="1" applyAlignment="1">
      <alignment horizontal="right"/>
    </xf>
    <xf numFmtId="43" fontId="5" fillId="3" borderId="25" xfId="0" applyNumberFormat="1" applyFont="1" applyFill="1" applyBorder="1" applyAlignment="1">
      <alignment horizontal="right"/>
    </xf>
    <xf numFmtId="0" fontId="10" fillId="3" borderId="44" xfId="0" applyFont="1" applyFill="1" applyBorder="1" applyAlignment="1">
      <alignment horizontal="right"/>
    </xf>
    <xf numFmtId="0" fontId="10" fillId="3" borderId="7" xfId="0" applyFont="1" applyFill="1" applyBorder="1" applyAlignment="1">
      <alignment horizontal="right"/>
    </xf>
    <xf numFmtId="0" fontId="10" fillId="3" borderId="8" xfId="0" applyFont="1" applyFill="1" applyBorder="1" applyAlignment="1">
      <alignment horizontal="right"/>
    </xf>
    <xf numFmtId="0" fontId="2" fillId="5" borderId="30" xfId="0" applyFont="1" applyFill="1" applyBorder="1" applyAlignment="1">
      <alignment horizontal="left" vertical="center"/>
    </xf>
    <xf numFmtId="0" fontId="2" fillId="5" borderId="29" xfId="0" applyFont="1" applyFill="1" applyBorder="1" applyAlignment="1">
      <alignment horizontal="left" vertical="center"/>
    </xf>
    <xf numFmtId="0" fontId="2" fillId="5" borderId="31" xfId="0" applyFont="1" applyFill="1" applyBorder="1" applyAlignment="1">
      <alignment horizontal="left" vertical="center"/>
    </xf>
    <xf numFmtId="0" fontId="2" fillId="5" borderId="29" xfId="0" applyFont="1" applyFill="1" applyBorder="1" applyAlignment="1">
      <alignment horizontal="center" vertical="center"/>
    </xf>
    <xf numFmtId="0" fontId="2" fillId="5" borderId="22"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36" xfId="0" applyFont="1" applyFill="1" applyBorder="1" applyAlignment="1">
      <alignment horizontal="center" vertical="center"/>
    </xf>
    <xf numFmtId="43" fontId="5" fillId="3" borderId="42" xfId="0" applyNumberFormat="1" applyFont="1" applyFill="1" applyBorder="1" applyAlignment="1">
      <alignment horizontal="right"/>
    </xf>
    <xf numFmtId="43" fontId="5" fillId="3" borderId="0" xfId="0" applyNumberFormat="1" applyFont="1" applyFill="1" applyAlignment="1">
      <alignment horizontal="right"/>
    </xf>
    <xf numFmtId="43" fontId="5" fillId="3" borderId="22" xfId="1" applyFont="1" applyFill="1" applyBorder="1" applyAlignment="1">
      <alignment horizontal="center"/>
    </xf>
    <xf numFmtId="43" fontId="5" fillId="3" borderId="31" xfId="1" applyFont="1" applyFill="1" applyBorder="1" applyAlignment="1">
      <alignment horizontal="center"/>
    </xf>
    <xf numFmtId="43" fontId="5" fillId="3" borderId="36" xfId="1" applyFont="1" applyFill="1" applyBorder="1" applyAlignment="1">
      <alignment horizontal="center"/>
    </xf>
    <xf numFmtId="43" fontId="5" fillId="3" borderId="34" xfId="1" applyFont="1" applyFill="1" applyBorder="1" applyAlignment="1">
      <alignment horizontal="center"/>
    </xf>
    <xf numFmtId="43" fontId="5" fillId="3" borderId="46" xfId="1" applyFont="1" applyFill="1" applyBorder="1" applyAlignment="1">
      <alignment horizontal="center"/>
    </xf>
    <xf numFmtId="43" fontId="5" fillId="3" borderId="39" xfId="1" applyFont="1" applyFill="1" applyBorder="1" applyAlignment="1">
      <alignment horizontal="center"/>
    </xf>
    <xf numFmtId="43" fontId="5" fillId="3" borderId="38" xfId="0" applyNumberFormat="1" applyFont="1" applyFill="1" applyBorder="1" applyAlignment="1">
      <alignment horizontal="center"/>
    </xf>
    <xf numFmtId="43" fontId="5" fillId="3" borderId="39" xfId="0" applyNumberFormat="1" applyFont="1" applyFill="1" applyBorder="1" applyAlignment="1">
      <alignment horizontal="center"/>
    </xf>
    <xf numFmtId="0" fontId="2" fillId="7" borderId="22" xfId="0" applyFont="1" applyFill="1" applyBorder="1" applyAlignment="1">
      <alignment horizontal="center"/>
    </xf>
    <xf numFmtId="0" fontId="2" fillId="7" borderId="31" xfId="0" applyFont="1" applyFill="1" applyBorder="1" applyAlignment="1">
      <alignment horizontal="center"/>
    </xf>
    <xf numFmtId="0" fontId="2" fillId="7" borderId="28" xfId="0" applyFont="1" applyFill="1" applyBorder="1" applyAlignment="1">
      <alignment horizontal="center"/>
    </xf>
    <xf numFmtId="0" fontId="2" fillId="7" borderId="26" xfId="0" applyFont="1" applyFill="1" applyBorder="1" applyAlignment="1">
      <alignment horizontal="center"/>
    </xf>
    <xf numFmtId="0" fontId="2" fillId="7" borderId="29" xfId="0" applyFont="1" applyFill="1" applyBorder="1" applyAlignment="1">
      <alignment horizontal="center"/>
    </xf>
    <xf numFmtId="0" fontId="2" fillId="7" borderId="36" xfId="0" applyFont="1" applyFill="1" applyBorder="1" applyAlignment="1">
      <alignment horizontal="center"/>
    </xf>
    <xf numFmtId="164" fontId="5" fillId="3" borderId="7" xfId="1" applyNumberFormat="1" applyFont="1" applyFill="1" applyBorder="1" applyAlignment="1">
      <alignment horizontal="center"/>
    </xf>
    <xf numFmtId="164" fontId="5" fillId="3" borderId="29" xfId="0" applyNumberFormat="1" applyFont="1" applyFill="1" applyBorder="1" applyAlignment="1">
      <alignment horizontal="center"/>
    </xf>
    <xf numFmtId="164" fontId="5" fillId="3" borderId="36" xfId="0" applyNumberFormat="1" applyFont="1" applyFill="1" applyBorder="1" applyAlignment="1">
      <alignment horizontal="center"/>
    </xf>
    <xf numFmtId="164" fontId="5" fillId="0" borderId="29" xfId="0" applyNumberFormat="1" applyFont="1" applyBorder="1" applyAlignment="1">
      <alignment horizontal="center"/>
    </xf>
    <xf numFmtId="164" fontId="5" fillId="0" borderId="36" xfId="0" applyNumberFormat="1" applyFont="1" applyBorder="1" applyAlignment="1">
      <alignment horizontal="center"/>
    </xf>
    <xf numFmtId="164" fontId="5" fillId="3" borderId="44" xfId="1" applyNumberFormat="1" applyFont="1" applyFill="1" applyBorder="1" applyAlignment="1">
      <alignment horizontal="center"/>
    </xf>
    <xf numFmtId="164" fontId="7" fillId="3" borderId="25" xfId="0" applyNumberFormat="1" applyFont="1" applyFill="1" applyBorder="1" applyAlignment="1">
      <alignment horizontal="center"/>
    </xf>
    <xf numFmtId="164" fontId="7" fillId="3" borderId="41" xfId="0" applyNumberFormat="1" applyFont="1" applyFill="1" applyBorder="1" applyAlignment="1">
      <alignment horizontal="center"/>
    </xf>
    <xf numFmtId="0" fontId="2" fillId="7" borderId="30" xfId="0" applyFont="1" applyFill="1" applyBorder="1" applyAlignment="1">
      <alignment horizontal="center"/>
    </xf>
    <xf numFmtId="164" fontId="7" fillId="3" borderId="28" xfId="0" applyNumberFormat="1" applyFont="1" applyFill="1" applyBorder="1" applyAlignment="1">
      <alignment horizontal="center"/>
    </xf>
    <xf numFmtId="164" fontId="7" fillId="3" borderId="42" xfId="1" applyNumberFormat="1" applyFont="1" applyFill="1" applyBorder="1" applyAlignment="1">
      <alignment horizontal="center"/>
    </xf>
    <xf numFmtId="164" fontId="7" fillId="3" borderId="0" xfId="1" applyNumberFormat="1" applyFont="1" applyFill="1" applyBorder="1" applyAlignment="1">
      <alignment horizontal="center"/>
    </xf>
    <xf numFmtId="164" fontId="7" fillId="3" borderId="25" xfId="1" applyNumberFormat="1" applyFont="1" applyFill="1" applyBorder="1" applyAlignment="1">
      <alignment horizontal="center"/>
    </xf>
    <xf numFmtId="164" fontId="7" fillId="3" borderId="41" xfId="1" applyNumberFormat="1" applyFont="1" applyFill="1" applyBorder="1" applyAlignment="1">
      <alignment horizontal="center"/>
    </xf>
    <xf numFmtId="164" fontId="7" fillId="3" borderId="28" xfId="1" applyNumberFormat="1" applyFont="1" applyFill="1" applyBorder="1" applyAlignment="1">
      <alignment horizontal="center"/>
    </xf>
    <xf numFmtId="164" fontId="7" fillId="3" borderId="29" xfId="1" applyNumberFormat="1" applyFont="1" applyFill="1" applyBorder="1" applyAlignment="1">
      <alignment horizontal="center"/>
    </xf>
    <xf numFmtId="164" fontId="7" fillId="3" borderId="36" xfId="1" applyNumberFormat="1" applyFont="1" applyFill="1" applyBorder="1" applyAlignment="1">
      <alignment horizontal="center"/>
    </xf>
    <xf numFmtId="164" fontId="7" fillId="3" borderId="22" xfId="1" applyNumberFormat="1" applyFont="1" applyFill="1" applyBorder="1" applyAlignment="1">
      <alignment horizontal="center"/>
    </xf>
    <xf numFmtId="164" fontId="5" fillId="3" borderId="5" xfId="1" applyNumberFormat="1" applyFont="1" applyFill="1" applyBorder="1" applyAlignment="1">
      <alignment horizontal="center"/>
    </xf>
    <xf numFmtId="164" fontId="5" fillId="3" borderId="21" xfId="1" applyNumberFormat="1" applyFont="1" applyFill="1" applyBorder="1" applyAlignment="1">
      <alignment horizontal="right"/>
    </xf>
    <xf numFmtId="164" fontId="5" fillId="3" borderId="22" xfId="1" applyNumberFormat="1" applyFont="1" applyFill="1" applyBorder="1" applyAlignment="1">
      <alignment horizontal="right"/>
    </xf>
    <xf numFmtId="164" fontId="5" fillId="3" borderId="23" xfId="1" applyNumberFormat="1" applyFont="1" applyFill="1" applyBorder="1" applyAlignment="1">
      <alignment horizontal="right"/>
    </xf>
    <xf numFmtId="0" fontId="0" fillId="3" borderId="33" xfId="0" applyFill="1" applyBorder="1" applyAlignment="1">
      <alignment horizontal="right"/>
    </xf>
    <xf numFmtId="0" fontId="0" fillId="3" borderId="34" xfId="0" applyFill="1" applyBorder="1" applyAlignment="1">
      <alignment horizontal="right"/>
    </xf>
    <xf numFmtId="0" fontId="0" fillId="3" borderId="35" xfId="0" applyFill="1" applyBorder="1" applyAlignment="1">
      <alignment horizontal="right"/>
    </xf>
    <xf numFmtId="0" fontId="2" fillId="6" borderId="1"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164" fontId="5" fillId="3" borderId="21" xfId="1" applyNumberFormat="1" applyFont="1" applyFill="1" applyBorder="1" applyAlignment="1">
      <alignment horizontal="right" wrapText="1"/>
    </xf>
    <xf numFmtId="164" fontId="5" fillId="3" borderId="22" xfId="1" applyNumberFormat="1" applyFont="1" applyFill="1" applyBorder="1" applyAlignment="1">
      <alignment horizontal="right" wrapText="1"/>
    </xf>
    <xf numFmtId="164" fontId="5" fillId="3" borderId="23" xfId="1" applyNumberFormat="1" applyFont="1" applyFill="1" applyBorder="1" applyAlignment="1">
      <alignment horizontal="right" wrapText="1"/>
    </xf>
    <xf numFmtId="14" fontId="5" fillId="3" borderId="21" xfId="0" applyNumberFormat="1" applyFont="1" applyFill="1" applyBorder="1" applyAlignment="1">
      <alignment horizontal="right" wrapText="1"/>
    </xf>
    <xf numFmtId="14" fontId="5" fillId="3" borderId="22" xfId="0" applyNumberFormat="1" applyFont="1" applyFill="1" applyBorder="1" applyAlignment="1">
      <alignment horizontal="right" wrapText="1"/>
    </xf>
    <xf numFmtId="14" fontId="5" fillId="3" borderId="23" xfId="0" applyNumberFormat="1" applyFont="1" applyFill="1" applyBorder="1" applyAlignment="1">
      <alignment horizontal="right" wrapText="1"/>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2" fillId="5" borderId="27" xfId="0" applyFont="1" applyFill="1" applyBorder="1" applyAlignment="1">
      <alignment horizontal="left" vertical="center"/>
    </xf>
    <xf numFmtId="0" fontId="2" fillId="5" borderId="18" xfId="0" applyFont="1" applyFill="1" applyBorder="1" applyAlignment="1">
      <alignment horizontal="left" vertical="center"/>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14" fontId="5" fillId="3" borderId="15" xfId="0" applyNumberFormat="1" applyFont="1" applyFill="1" applyBorder="1" applyAlignment="1">
      <alignment horizontal="right" wrapText="1"/>
    </xf>
    <xf numFmtId="14" fontId="5" fillId="3" borderId="16" xfId="0" applyNumberFormat="1" applyFont="1" applyFill="1" applyBorder="1" applyAlignment="1">
      <alignment horizontal="right" wrapText="1"/>
    </xf>
    <xf numFmtId="14" fontId="5" fillId="3" borderId="17" xfId="0" applyNumberFormat="1" applyFont="1" applyFill="1" applyBorder="1" applyAlignment="1">
      <alignment horizontal="right" wrapText="1"/>
    </xf>
    <xf numFmtId="0" fontId="2" fillId="5" borderId="26" xfId="0" applyFont="1" applyFill="1" applyBorder="1" applyAlignment="1">
      <alignment horizontal="left" vertical="center"/>
    </xf>
    <xf numFmtId="164" fontId="0" fillId="3" borderId="42" xfId="1" applyNumberFormat="1" applyFont="1" applyFill="1" applyBorder="1" applyAlignment="1">
      <alignment horizontal="center"/>
    </xf>
    <xf numFmtId="164" fontId="0" fillId="3" borderId="27" xfId="1" applyNumberFormat="1" applyFont="1" applyFill="1" applyBorder="1" applyAlignment="1">
      <alignment horizontal="center"/>
    </xf>
    <xf numFmtId="9" fontId="0" fillId="3" borderId="19" xfId="2" applyFont="1" applyFill="1" applyBorder="1" applyAlignment="1">
      <alignment horizontal="center"/>
    </xf>
    <xf numFmtId="9" fontId="0" fillId="3" borderId="20" xfId="2" applyFont="1" applyFill="1" applyBorder="1" applyAlignment="1">
      <alignment horizontal="center"/>
    </xf>
    <xf numFmtId="164" fontId="0" fillId="3" borderId="42" xfId="1" applyNumberFormat="1" applyFont="1" applyFill="1" applyBorder="1" applyAlignment="1">
      <alignment horizontal="right"/>
    </xf>
    <xf numFmtId="164" fontId="0" fillId="3" borderId="0" xfId="1" applyNumberFormat="1" applyFont="1" applyFill="1" applyBorder="1" applyAlignment="1">
      <alignment horizontal="right"/>
    </xf>
    <xf numFmtId="9" fontId="0" fillId="3" borderId="32" xfId="2" applyFont="1" applyFill="1" applyBorder="1" applyAlignment="1">
      <alignment horizontal="center"/>
    </xf>
    <xf numFmtId="164" fontId="2" fillId="3" borderId="22" xfId="1" applyNumberFormat="1" applyFont="1" applyFill="1" applyBorder="1" applyAlignment="1">
      <alignment horizontal="center"/>
    </xf>
    <xf numFmtId="164" fontId="2" fillId="3" borderId="31" xfId="1" applyNumberFormat="1" applyFont="1" applyFill="1" applyBorder="1" applyAlignment="1">
      <alignment horizontal="center"/>
    </xf>
    <xf numFmtId="9" fontId="2" fillId="3" borderId="22" xfId="0" applyNumberFormat="1" applyFont="1" applyFill="1" applyBorder="1" applyAlignment="1">
      <alignment horizontal="center"/>
    </xf>
    <xf numFmtId="0" fontId="2" fillId="3" borderId="31" xfId="0" applyFont="1" applyFill="1" applyBorder="1" applyAlignment="1">
      <alignment horizontal="center"/>
    </xf>
    <xf numFmtId="164" fontId="2" fillId="3" borderId="22" xfId="1" applyNumberFormat="1" applyFont="1" applyFill="1" applyBorder="1" applyAlignment="1">
      <alignment horizontal="right"/>
    </xf>
    <xf numFmtId="164" fontId="2" fillId="3" borderId="31" xfId="1" applyNumberFormat="1" applyFont="1" applyFill="1" applyBorder="1" applyAlignment="1">
      <alignment horizontal="right"/>
    </xf>
    <xf numFmtId="9" fontId="2" fillId="3" borderId="32" xfId="2" applyFont="1" applyFill="1" applyBorder="1" applyAlignment="1">
      <alignment horizontal="center"/>
    </xf>
    <xf numFmtId="9" fontId="2" fillId="3" borderId="20" xfId="2" applyFont="1" applyFill="1" applyBorder="1" applyAlignment="1">
      <alignment horizontal="center"/>
    </xf>
    <xf numFmtId="9" fontId="0" fillId="3" borderId="0" xfId="2" applyFont="1" applyFill="1" applyBorder="1" applyAlignment="1">
      <alignment horizontal="center"/>
    </xf>
    <xf numFmtId="9" fontId="0" fillId="3" borderId="27" xfId="2" applyFont="1" applyFill="1" applyBorder="1" applyAlignment="1">
      <alignment horizontal="center"/>
    </xf>
    <xf numFmtId="9" fontId="0" fillId="3" borderId="42" xfId="2" applyFont="1" applyFill="1" applyBorder="1" applyAlignment="1">
      <alignment horizontal="center"/>
    </xf>
    <xf numFmtId="164" fontId="0" fillId="3" borderId="28" xfId="1" applyNumberFormat="1" applyFont="1" applyFill="1" applyBorder="1" applyAlignment="1">
      <alignment horizontal="center"/>
    </xf>
    <xf numFmtId="164" fontId="0" fillId="3" borderId="26" xfId="1" applyNumberFormat="1" applyFont="1" applyFill="1" applyBorder="1" applyAlignment="1">
      <alignment horizontal="center"/>
    </xf>
    <xf numFmtId="9" fontId="0" fillId="3" borderId="28" xfId="2" applyFont="1" applyFill="1" applyBorder="1" applyAlignment="1">
      <alignment horizontal="center"/>
    </xf>
    <xf numFmtId="9" fontId="0" fillId="3" borderId="26" xfId="2" applyFont="1" applyFill="1" applyBorder="1" applyAlignment="1">
      <alignment horizontal="center"/>
    </xf>
    <xf numFmtId="164" fontId="0" fillId="3" borderId="32" xfId="1" applyNumberFormat="1" applyFont="1" applyFill="1" applyBorder="1" applyAlignment="1">
      <alignment horizontal="center"/>
    </xf>
    <xf numFmtId="164" fontId="0" fillId="3" borderId="20" xfId="1" applyNumberFormat="1" applyFont="1" applyFill="1" applyBorder="1" applyAlignment="1">
      <alignment horizontal="center"/>
    </xf>
    <xf numFmtId="164" fontId="2" fillId="3" borderId="32" xfId="1" applyNumberFormat="1" applyFont="1" applyFill="1" applyBorder="1" applyAlignment="1">
      <alignment horizontal="center"/>
    </xf>
    <xf numFmtId="164" fontId="2" fillId="3" borderId="20" xfId="1" applyNumberFormat="1" applyFont="1" applyFill="1" applyBorder="1" applyAlignment="1">
      <alignment horizontal="center"/>
    </xf>
    <xf numFmtId="9" fontId="2" fillId="3" borderId="31" xfId="0" applyNumberFormat="1" applyFont="1" applyFill="1" applyBorder="1" applyAlignment="1">
      <alignment horizontal="center"/>
    </xf>
    <xf numFmtId="164" fontId="2" fillId="3" borderId="22" xfId="0" applyNumberFormat="1" applyFont="1" applyFill="1" applyBorder="1" applyAlignment="1">
      <alignment horizontal="center"/>
    </xf>
    <xf numFmtId="164" fontId="0" fillId="3" borderId="0" xfId="1" applyNumberFormat="1" applyFont="1" applyFill="1" applyBorder="1" applyAlignment="1">
      <alignment horizontal="center"/>
    </xf>
    <xf numFmtId="164" fontId="2" fillId="3" borderId="32" xfId="0" applyNumberFormat="1" applyFont="1" applyFill="1" applyBorder="1" applyAlignment="1">
      <alignment horizontal="center"/>
    </xf>
    <xf numFmtId="0" fontId="2" fillId="3" borderId="20" xfId="0" applyFont="1" applyFill="1" applyBorder="1" applyAlignment="1">
      <alignment horizontal="center"/>
    </xf>
    <xf numFmtId="164" fontId="2" fillId="0" borderId="22" xfId="1" applyNumberFormat="1" applyFont="1" applyFill="1" applyBorder="1" applyAlignment="1">
      <alignment horizontal="center"/>
    </xf>
    <xf numFmtId="164" fontId="2" fillId="0" borderId="31" xfId="1" applyNumberFormat="1" applyFont="1" applyFill="1" applyBorder="1" applyAlignment="1">
      <alignment horizontal="center"/>
    </xf>
    <xf numFmtId="9" fontId="2" fillId="3" borderId="22" xfId="2" applyFont="1" applyFill="1" applyBorder="1" applyAlignment="1">
      <alignment horizontal="center"/>
    </xf>
    <xf numFmtId="9" fontId="2" fillId="3" borderId="31" xfId="2" applyFont="1" applyFill="1" applyBorder="1" applyAlignment="1">
      <alignment horizontal="center"/>
    </xf>
    <xf numFmtId="0" fontId="2" fillId="5" borderId="25" xfId="0" applyFont="1" applyFill="1" applyBorder="1" applyAlignment="1">
      <alignment horizontal="center"/>
    </xf>
    <xf numFmtId="0" fontId="2" fillId="5" borderId="26" xfId="0" applyFont="1" applyFill="1" applyBorder="1" applyAlignment="1">
      <alignment horizontal="center"/>
    </xf>
    <xf numFmtId="164" fontId="0" fillId="0" borderId="32" xfId="1" applyNumberFormat="1" applyFont="1" applyFill="1" applyBorder="1" applyAlignment="1">
      <alignment horizontal="center"/>
    </xf>
    <xf numFmtId="164" fontId="0" fillId="0" borderId="20" xfId="1" applyNumberFormat="1" applyFont="1" applyFill="1" applyBorder="1" applyAlignment="1">
      <alignment horizontal="center"/>
    </xf>
    <xf numFmtId="9" fontId="7" fillId="3" borderId="34" xfId="2" applyFont="1" applyFill="1" applyBorder="1" applyAlignment="1">
      <alignment horizontal="center"/>
    </xf>
    <xf numFmtId="9" fontId="7" fillId="3" borderId="38" xfId="2" applyFont="1" applyFill="1" applyBorder="1" applyAlignment="1">
      <alignment horizontal="center"/>
    </xf>
    <xf numFmtId="9" fontId="7" fillId="3" borderId="46" xfId="2" applyFont="1" applyFill="1" applyBorder="1" applyAlignment="1">
      <alignment horizontal="center"/>
    </xf>
    <xf numFmtId="10" fontId="7" fillId="3" borderId="34" xfId="2" applyNumberFormat="1" applyFont="1" applyFill="1" applyBorder="1" applyAlignment="1">
      <alignment horizontal="center"/>
    </xf>
    <xf numFmtId="10" fontId="7" fillId="3" borderId="38" xfId="2" applyNumberFormat="1" applyFont="1" applyFill="1" applyBorder="1" applyAlignment="1">
      <alignment horizontal="center"/>
    </xf>
    <xf numFmtId="10" fontId="7" fillId="3" borderId="46" xfId="2" applyNumberFormat="1" applyFont="1" applyFill="1" applyBorder="1" applyAlignment="1">
      <alignment horizontal="center"/>
    </xf>
    <xf numFmtId="10" fontId="7" fillId="3" borderId="39" xfId="2" applyNumberFormat="1" applyFont="1" applyFill="1" applyBorder="1" applyAlignment="1">
      <alignment horizontal="center"/>
    </xf>
    <xf numFmtId="9" fontId="7" fillId="3" borderId="22" xfId="2" applyFont="1" applyFill="1" applyBorder="1" applyAlignment="1">
      <alignment horizontal="center"/>
    </xf>
    <xf numFmtId="9" fontId="7" fillId="3" borderId="29" xfId="2" applyFont="1" applyFill="1" applyBorder="1" applyAlignment="1">
      <alignment horizontal="center"/>
    </xf>
    <xf numFmtId="9" fontId="7" fillId="3" borderId="31" xfId="2" applyFont="1" applyFill="1" applyBorder="1" applyAlignment="1">
      <alignment horizontal="center"/>
    </xf>
    <xf numFmtId="10" fontId="7" fillId="3" borderId="22" xfId="2" applyNumberFormat="1" applyFont="1" applyFill="1" applyBorder="1" applyAlignment="1">
      <alignment horizontal="center"/>
    </xf>
    <xf numFmtId="10" fontId="7" fillId="3" borderId="29" xfId="2" applyNumberFormat="1" applyFont="1" applyFill="1" applyBorder="1" applyAlignment="1">
      <alignment horizontal="center"/>
    </xf>
    <xf numFmtId="10" fontId="7" fillId="3" borderId="31" xfId="2" applyNumberFormat="1" applyFont="1" applyFill="1" applyBorder="1" applyAlignment="1">
      <alignment horizontal="center"/>
    </xf>
    <xf numFmtId="10" fontId="7" fillId="3" borderId="36" xfId="2" applyNumberFormat="1" applyFont="1" applyFill="1" applyBorder="1" applyAlignment="1">
      <alignment horizontal="center"/>
    </xf>
    <xf numFmtId="0" fontId="6" fillId="3" borderId="22" xfId="0" applyFont="1" applyFill="1" applyBorder="1" applyAlignment="1">
      <alignment horizontal="center"/>
    </xf>
    <xf numFmtId="0" fontId="6" fillId="3" borderId="29" xfId="0" applyFont="1" applyFill="1" applyBorder="1" applyAlignment="1">
      <alignment horizontal="center"/>
    </xf>
    <xf numFmtId="0" fontId="6" fillId="3" borderId="31" xfId="0" applyFont="1" applyFill="1" applyBorder="1" applyAlignment="1">
      <alignment horizontal="center"/>
    </xf>
    <xf numFmtId="2" fontId="7" fillId="3" borderId="22" xfId="0" applyNumberFormat="1" applyFont="1" applyFill="1" applyBorder="1" applyAlignment="1">
      <alignment horizontal="center"/>
    </xf>
    <xf numFmtId="2" fontId="7" fillId="3" borderId="29" xfId="0" applyNumberFormat="1" applyFont="1" applyFill="1" applyBorder="1" applyAlignment="1">
      <alignment horizontal="center"/>
    </xf>
    <xf numFmtId="2" fontId="7" fillId="3" borderId="36" xfId="0" applyNumberFormat="1" applyFont="1" applyFill="1" applyBorder="1" applyAlignment="1">
      <alignment horizontal="center"/>
    </xf>
    <xf numFmtId="2" fontId="7" fillId="3" borderId="30" xfId="0" applyNumberFormat="1" applyFont="1" applyFill="1" applyBorder="1" applyAlignment="1">
      <alignment horizontal="center"/>
    </xf>
    <xf numFmtId="0" fontId="7" fillId="3" borderId="28" xfId="0" applyFont="1" applyFill="1" applyBorder="1" applyAlignment="1">
      <alignment horizontal="center"/>
    </xf>
    <xf numFmtId="0" fontId="7" fillId="3" borderId="25" xfId="0" applyFont="1" applyFill="1" applyBorder="1" applyAlignment="1">
      <alignment horizontal="center"/>
    </xf>
    <xf numFmtId="0" fontId="7" fillId="3" borderId="26" xfId="0" applyFont="1" applyFill="1" applyBorder="1" applyAlignment="1">
      <alignment horizontal="center"/>
    </xf>
    <xf numFmtId="10" fontId="7" fillId="3" borderId="28" xfId="2" applyNumberFormat="1" applyFont="1" applyFill="1" applyBorder="1" applyAlignment="1">
      <alignment horizontal="center"/>
    </xf>
    <xf numFmtId="10" fontId="7" fillId="3" borderId="25" xfId="2" applyNumberFormat="1" applyFont="1" applyFill="1" applyBorder="1" applyAlignment="1">
      <alignment horizontal="center"/>
    </xf>
    <xf numFmtId="10" fontId="7" fillId="3" borderId="26" xfId="2" applyNumberFormat="1" applyFont="1" applyFill="1" applyBorder="1" applyAlignment="1">
      <alignment horizontal="center"/>
    </xf>
    <xf numFmtId="10" fontId="7" fillId="0" borderId="22" xfId="0" applyNumberFormat="1" applyFont="1" applyBorder="1" applyAlignment="1">
      <alignment horizontal="center"/>
    </xf>
    <xf numFmtId="10" fontId="7" fillId="0" borderId="29" xfId="0" applyNumberFormat="1" applyFont="1" applyBorder="1" applyAlignment="1">
      <alignment horizontal="center"/>
    </xf>
    <xf numFmtId="10" fontId="7" fillId="0" borderId="36" xfId="0" applyNumberFormat="1" applyFont="1" applyBorder="1" applyAlignment="1">
      <alignment horizontal="center"/>
    </xf>
    <xf numFmtId="9" fontId="6" fillId="3" borderId="22" xfId="0" applyNumberFormat="1" applyFont="1" applyFill="1" applyBorder="1" applyAlignment="1">
      <alignment horizontal="center"/>
    </xf>
    <xf numFmtId="10" fontId="7" fillId="3" borderId="22" xfId="0" applyNumberFormat="1" applyFont="1" applyFill="1" applyBorder="1" applyAlignment="1">
      <alignment horizontal="center"/>
    </xf>
    <xf numFmtId="0" fontId="7" fillId="3" borderId="29" xfId="0" applyFont="1" applyFill="1" applyBorder="1" applyAlignment="1">
      <alignment horizontal="center"/>
    </xf>
    <xf numFmtId="0" fontId="7" fillId="3" borderId="36" xfId="0" applyFont="1" applyFill="1" applyBorder="1" applyAlignment="1">
      <alignment horizontal="center"/>
    </xf>
    <xf numFmtId="10" fontId="7" fillId="3" borderId="29" xfId="0" applyNumberFormat="1" applyFont="1" applyFill="1" applyBorder="1" applyAlignment="1">
      <alignment horizontal="center"/>
    </xf>
    <xf numFmtId="10" fontId="7" fillId="3" borderId="36" xfId="0" applyNumberFormat="1" applyFont="1" applyFill="1" applyBorder="1" applyAlignment="1">
      <alignment horizontal="center"/>
    </xf>
    <xf numFmtId="164" fontId="7" fillId="3" borderId="32" xfId="1" applyNumberFormat="1" applyFont="1" applyFill="1" applyBorder="1" applyAlignment="1">
      <alignment horizontal="right"/>
    </xf>
    <xf numFmtId="164" fontId="7" fillId="3" borderId="19" xfId="1" applyNumberFormat="1" applyFont="1" applyFill="1" applyBorder="1" applyAlignment="1">
      <alignment horizontal="right"/>
    </xf>
    <xf numFmtId="164" fontId="7" fillId="3" borderId="44" xfId="1" applyNumberFormat="1" applyFont="1" applyFill="1" applyBorder="1" applyAlignment="1">
      <alignment horizontal="right"/>
    </xf>
    <xf numFmtId="164" fontId="7" fillId="3" borderId="7" xfId="1" applyNumberFormat="1" applyFont="1" applyFill="1" applyBorder="1" applyAlignment="1">
      <alignment horizontal="right"/>
    </xf>
    <xf numFmtId="164" fontId="7" fillId="3" borderId="45" xfId="1" applyNumberFormat="1" applyFont="1" applyFill="1" applyBorder="1" applyAlignment="1">
      <alignment horizontal="right"/>
    </xf>
    <xf numFmtId="164" fontId="7" fillId="3" borderId="8" xfId="1" applyNumberFormat="1" applyFont="1" applyFill="1" applyBorder="1" applyAlignment="1">
      <alignment horizontal="right"/>
    </xf>
    <xf numFmtId="164" fontId="7" fillId="0" borderId="32" xfId="1" applyNumberFormat="1" applyFont="1" applyFill="1" applyBorder="1" applyAlignment="1">
      <alignment horizontal="right"/>
    </xf>
    <xf numFmtId="164" fontId="7" fillId="0" borderId="19" xfId="1" applyNumberFormat="1" applyFont="1" applyFill="1" applyBorder="1" applyAlignment="1">
      <alignment horizontal="right"/>
    </xf>
    <xf numFmtId="164" fontId="7" fillId="3" borderId="28" xfId="1" applyNumberFormat="1" applyFont="1" applyFill="1" applyBorder="1" applyAlignment="1">
      <alignment horizontal="right"/>
    </xf>
    <xf numFmtId="164" fontId="7" fillId="3" borderId="25" xfId="1" applyNumberFormat="1" applyFont="1" applyFill="1" applyBorder="1" applyAlignment="1">
      <alignment horizontal="right"/>
    </xf>
    <xf numFmtId="164" fontId="7" fillId="3" borderId="26" xfId="1" applyNumberFormat="1" applyFont="1" applyFill="1" applyBorder="1" applyAlignment="1">
      <alignment horizontal="right"/>
    </xf>
    <xf numFmtId="164" fontId="7" fillId="3" borderId="41" xfId="1" applyNumberFormat="1" applyFont="1" applyFill="1" applyBorder="1" applyAlignment="1">
      <alignment horizontal="right"/>
    </xf>
    <xf numFmtId="0" fontId="2" fillId="7" borderId="18" xfId="0" applyFont="1" applyFill="1" applyBorder="1" applyAlignment="1">
      <alignment horizontal="center"/>
    </xf>
    <xf numFmtId="0" fontId="2" fillId="7" borderId="19" xfId="0" applyFont="1" applyFill="1" applyBorder="1" applyAlignment="1">
      <alignment horizontal="center"/>
    </xf>
    <xf numFmtId="0" fontId="2" fillId="7" borderId="43" xfId="0" applyFont="1" applyFill="1" applyBorder="1" applyAlignment="1">
      <alignment horizontal="center"/>
    </xf>
    <xf numFmtId="164" fontId="7" fillId="3" borderId="38" xfId="1" applyNumberFormat="1" applyFont="1" applyFill="1" applyBorder="1" applyAlignment="1">
      <alignment horizontal="right"/>
    </xf>
    <xf numFmtId="164" fontId="7" fillId="3" borderId="39" xfId="1" applyNumberFormat="1" applyFont="1" applyFill="1" applyBorder="1" applyAlignment="1">
      <alignment horizontal="right"/>
    </xf>
    <xf numFmtId="164" fontId="7" fillId="3" borderId="22" xfId="1" applyNumberFormat="1" applyFont="1" applyFill="1" applyBorder="1" applyAlignment="1">
      <alignment horizontal="right"/>
    </xf>
    <xf numFmtId="164" fontId="7" fillId="3" borderId="29" xfId="1" applyNumberFormat="1" applyFont="1" applyFill="1" applyBorder="1" applyAlignment="1">
      <alignment horizontal="right"/>
    </xf>
    <xf numFmtId="164" fontId="7" fillId="3" borderId="36" xfId="1" applyNumberFormat="1" applyFont="1" applyFill="1" applyBorder="1" applyAlignment="1">
      <alignment horizontal="right"/>
    </xf>
    <xf numFmtId="164" fontId="7" fillId="0" borderId="42" xfId="1" applyNumberFormat="1" applyFont="1" applyFill="1" applyBorder="1" applyAlignment="1">
      <alignment horizontal="center"/>
    </xf>
    <xf numFmtId="164" fontId="7" fillId="0" borderId="0" xfId="1" applyNumberFormat="1" applyFont="1" applyFill="1" applyBorder="1" applyAlignment="1">
      <alignment horizontal="center"/>
    </xf>
    <xf numFmtId="164" fontId="7" fillId="0" borderId="25" xfId="1" applyNumberFormat="1" applyFont="1" applyFill="1" applyBorder="1" applyAlignment="1">
      <alignment horizontal="right"/>
    </xf>
    <xf numFmtId="164" fontId="7" fillId="0" borderId="41" xfId="1" applyNumberFormat="1" applyFont="1" applyFill="1" applyBorder="1" applyAlignment="1">
      <alignment horizontal="right"/>
    </xf>
    <xf numFmtId="164" fontId="7" fillId="0" borderId="42" xfId="1" applyNumberFormat="1" applyFont="1" applyFill="1" applyBorder="1" applyAlignment="1">
      <alignment horizontal="right"/>
    </xf>
    <xf numFmtId="164" fontId="7" fillId="0" borderId="0" xfId="1" applyNumberFormat="1" applyFont="1" applyFill="1" applyBorder="1" applyAlignment="1">
      <alignment horizontal="right"/>
    </xf>
    <xf numFmtId="14" fontId="5" fillId="3" borderId="29" xfId="0" applyNumberFormat="1" applyFont="1" applyFill="1" applyBorder="1" applyAlignment="1">
      <alignment horizontal="right" wrapText="1"/>
    </xf>
    <xf numFmtId="14" fontId="5" fillId="3" borderId="36" xfId="0" applyNumberFormat="1" applyFont="1" applyFill="1" applyBorder="1" applyAlignment="1">
      <alignment horizontal="right" wrapText="1"/>
    </xf>
    <xf numFmtId="0" fontId="0" fillId="3" borderId="21" xfId="0" applyFill="1" applyBorder="1" applyAlignment="1">
      <alignment horizontal="right"/>
    </xf>
    <xf numFmtId="0" fontId="0" fillId="3" borderId="23" xfId="0" applyFill="1" applyBorder="1" applyAlignment="1">
      <alignment horizontal="right"/>
    </xf>
    <xf numFmtId="14" fontId="5" fillId="0" borderId="21" xfId="0" applyNumberFormat="1" applyFont="1" applyBorder="1" applyAlignment="1">
      <alignment horizontal="right" wrapText="1"/>
    </xf>
    <xf numFmtId="14" fontId="5" fillId="0" borderId="23" xfId="0" applyNumberFormat="1" applyFont="1" applyBorder="1" applyAlignment="1">
      <alignment horizontal="right" wrapText="1"/>
    </xf>
    <xf numFmtId="165" fontId="5" fillId="3" borderId="21" xfId="0" applyNumberFormat="1" applyFont="1" applyFill="1" applyBorder="1" applyAlignment="1">
      <alignment horizontal="right" wrapText="1"/>
    </xf>
    <xf numFmtId="165" fontId="5" fillId="3" borderId="23" xfId="0" applyNumberFormat="1" applyFont="1" applyFill="1" applyBorder="1" applyAlignment="1">
      <alignment horizontal="right"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Gunning, Nicholas NCM" id="{FED6160F-3A2B-4EBF-85B9-D543BA423E82}" userId="S::Nicholas.Gunning@standardbank.co.za::f2009c57-e3a6-4270-8684-6331fd819ed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8" dT="2020-07-10T12:15:10.58" personId="{FED6160F-3A2B-4EBF-85B9-D543BA423E82}" id="{C98CEEF8-8C17-4738-BC8E-CA023C03F1E3}">
    <text>1.141.13	Administrator Report Date means the fifteenth twelfth day after each Determination Date, or if any such day is not a Business Day, then the immediately succeeding day that is a Business Day;</text>
  </threadedComment>
  <threadedComment ref="C9" dT="2020-07-10T12:16:41.19" personId="{FED6160F-3A2B-4EBF-85B9-D543BA423E82}" id="{B6AD5846-C618-4478-8D72-7B66C991BF2A}">
    <text>1.1021.100	Determination Date means the last Business Day of [December, March, June and September], save for the first Determination Date which will be the date specified in the APS;</text>
  </threadedComment>
  <threadedComment ref="C12" dT="2020-07-10T12:17:28.82" personId="{FED6160F-3A2B-4EBF-85B9-D543BA423E82}" id="{E8C0A8DD-F4B6-4439-8CCF-8CDCC52B729C}">
    <text>1.751.73	Collection Period means each period beginning on (and excluding) a Determination Date and ending on (and including) the immediately following Determination Date, provided that the first Collection Period shall begin on (and include) the Initial Issue Date;</text>
  </threadedComment>
  <threadedComment ref="C67" dT="2020-07-10T12:19:25.59" personId="{FED6160F-3A2B-4EBF-85B9-D543BA423E82}" id="{FF3EF5CE-58FC-467E-9D99-82EF7BF5F978}">
    <text>1.2591.251	Repayments means repayments of principal received under a Loan Agreement, being scheduled instalments received, less interest owing during the immediately preceding interest period in terms of the Loan Agreement;</text>
  </threadedComment>
  <threadedComment ref="C68" dT="2020-07-10T12:20:03.96" personId="{FED6160F-3A2B-4EBF-85B9-D543BA423E82}" id="{1B09EEAF-3107-4CE6-ABB3-C21B71FD4B30}">
    <text>1.2201.211	Prepayments means principal repayments received under a Loan Agreement in excess of the minimum Instalments which a Borrower is obliged to pay;</text>
  </threadedComment>
  <threadedComment ref="C72" dT="2020-07-10T12:32:40.90" personId="{FED6160F-3A2B-4EBF-85B9-D543BA423E82}" id="{E41414FA-EAC9-4F73-8DEE-4D3BF585B77C}">
    <text>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ext>
  </threadedComment>
  <threadedComment ref="C83" dT="2020-07-10T12:14:24.90" personId="{FED6160F-3A2B-4EBF-85B9-D543BA423E82}" id="{60D94422-D102-4B18-B9E4-E86E52BE92EE}">
    <text>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ext>
  </threadedComment>
  <threadedComment ref="C102" dT="2020-07-03T14:38:14.35" personId="{FED6160F-3A2B-4EBF-85B9-D543BA423E82}" id="{66C08F15-9157-4409-BDAB-2673D234FD16}">
    <text>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ext>
  </threadedComment>
  <threadedComment ref="C113" dT="2020-07-03T14:39:03.59" personId="{FED6160F-3A2B-4EBF-85B9-D543BA423E82}" id="{DFCD18E6-BFDE-4359-8A32-2B961134DAFD}">
    <text>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ext>
  </threadedComment>
  <threadedComment ref="C117" dT="2020-07-03T14:39:59.73" personId="{FED6160F-3A2B-4EBF-85B9-D543BA423E82}" id="{D881C49B-2A8E-4457-BF5A-6F83F8D3C09D}">
    <text>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ext>
  </threadedComment>
  <threadedComment ref="C118" dT="2020-07-03T14:40:20.29" personId="{FED6160F-3A2B-4EBF-85B9-D543BA423E82}" id="{0CADEC92-E8F0-425F-9D2B-5297DD6AB287}">
    <text>1.681.67	Class C Interest Deferral Event means the first occurrence on which there are Class B Notes outstanding and where there is a Principal Deficiency on the immediately preceding Interest Payment Date after the application of funds in accordance with the Priority of Payments;</text>
  </threadedComment>
  <threadedComment ref="C124" dT="2020-07-06T07:36:37.57" personId="{FED6160F-3A2B-4EBF-85B9-D543BA423E82}" id="{5F084312-D20A-476D-9312-12040883B414}">
    <text>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ext>
  </threadedComment>
  <threadedComment ref="C133" dT="2020-07-06T07:42:12.02" personId="{FED6160F-3A2B-4EBF-85B9-D543BA423E82}" id="{55D05C03-F230-4F2F-8E50-BA182527051A}">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35" dT="2020-07-06T07:42:23.74" personId="{FED6160F-3A2B-4EBF-85B9-D543BA423E82}" id="{588A28FF-6816-4AB8-A506-7AC52EF94034}">
    <text>1.701.69	Class C Principal Lock-Out shall occur on any Interest Payment Date on which, if prior to the allocation of the Redemption Amount in accordance with the Priority of Payments, there are Class B Notes outstanding;</text>
  </threadedComment>
  <threadedComment ref="C139" dT="2020-07-01T09:26:37.19" personId="{FED6160F-3A2B-4EBF-85B9-D543BA423E82}" id="{C8471E35-5B7B-40F9-AADC-E0095DCEA6B6}">
    <text>1.1	first, to pay or provide for the Issuer’s liability or potential liability for Tax;</text>
  </threadedComment>
  <threadedComment ref="C140" dT="2020-07-01T09:26:57.34" personId="{FED6160F-3A2B-4EBF-85B9-D543BA423E82}" id="{0CCD5CA1-D754-4CC9-B111-B11369F2F90E}">
    <text>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ext>
  </threadedComment>
  <threadedComment ref="C143" dT="2020-07-01T09:27:14.39" personId="{FED6160F-3A2B-4EBF-85B9-D543BA423E82}" id="{44BD72AE-9715-4802-A1A3-74661562451D}">
    <text>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ext>
  </threadedComment>
  <threadedComment ref="C146" dT="2020-07-01T09:27:31.91" personId="{FED6160F-3A2B-4EBF-85B9-D543BA423E82}" id="{E43D550B-EF69-4AA8-8DDD-0D07F61B69C8}">
    <text>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ext>
  </threadedComment>
  <threadedComment ref="C150" dT="2020-07-01T09:28:08.22" personId="{FED6160F-3A2B-4EBF-85B9-D543BA423E82}" id="{293BCC63-00E4-46C7-B674-AE4DACFD0B23}">
    <text>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ext>
  </threadedComment>
  <threadedComment ref="C151" dT="2020-07-01T09:28:21.98" personId="{FED6160F-3A2B-4EBF-85B9-D543BA423E82}" id="{81E5C7C3-4B6E-4E0D-95F0-602D513991DC}">
    <text>1.6	sixth, to pay all amounts due and payable under the Liquidity Facility other than in respect of principal;</text>
  </threadedComment>
  <threadedComment ref="C152" dT="2020-07-01T09:28:38.95" personId="{FED6160F-3A2B-4EBF-85B9-D543BA423E82}" id="{E16A1E1B-8AE5-492E-BB44-FA4963E5BAC9}">
    <text>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ext>
  </threadedComment>
  <threadedComment ref="C156" dT="2020-07-01T09:28:53.80" personId="{FED6160F-3A2B-4EBF-85B9-D543BA423E82}" id="{4349365A-77A8-43D2-A646-6FE5EC28ABC7}">
    <text>1.8	eighth, subject to a Class B Interest Deferral Event not having occurred on or prior to that Interest Payment Date, to pay or provide for all amounts due and payable in respect of the Class B Notes other than in respect of principal on the Class B Notes;</text>
  </threadedComment>
  <threadedComment ref="C157" dT="2020-07-01T09:29:09.23" personId="{FED6160F-3A2B-4EBF-85B9-D543BA423E82}" id="{D35C6CDB-2082-42DE-B860-D3F589AB0B06}">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58" dT="2020-07-01T09:29:24.56" personId="{FED6160F-3A2B-4EBF-85B9-D543BA423E82}" id="{D6658421-D406-4831-9BAF-2179FBE7F0FA}">
    <text>1.10	tenth, subject to a Class C Interest Deferral Event not having occurred on or prior to that Interest Payment Date, to pay or to provide for all amounts due and payable in respect of the Class C Notes other than in respect of principal on the Class C Notes;</text>
  </threadedComment>
  <threadedComment ref="C159" dT="2020-07-01T09:29:39.12" personId="{FED6160F-3A2B-4EBF-85B9-D543BA423E82}" id="{C7213D74-29F2-49F5-968F-A6D531D4EF26}">
    <text>1.11	eleventh, to repay all principal amounts outstanding under the Liquidity Facility as at the immediately preceding Determination Date up to an amount equal to the Potential Redemption Amount;</text>
  </threadedComment>
  <threadedComment ref="C160" dT="2020-07-01T09:30:54.67" personId="{FED6160F-3A2B-4EBF-85B9-D543BA423E82}" id="{0BC5D422-91EA-4341-9BD9-8413D8A27CBF}">
    <text>1.12	twelfth, provided that a Stop-Lending Trigger Event has not occurred, to fund the advance by the Issuer of Redraws and Re-Advances up to an amount equal to the Potential Redemption Amount less the sum of the amounts applied under item 1.11 above;</text>
  </threadedComment>
  <threadedComment ref="C161" dT="2020-07-01T09:32:55.52" personId="{FED6160F-3A2B-4EBF-85B9-D543BA423E82}" id="{ADAFFA5B-5EA0-4076-8E42-0210ECCBC561}">
    <text>1.13	thirteenth, provided that a Stop-Lending Trigger Event has not occurred, to fund the advance by the Issuer of Further Advances and, during the Revolving Period only, to fund the purchase by the Issuer of Additional Assets, equal to the greater of zero and up to the lower of:</text>
  </threadedComment>
  <threadedComment ref="C162" dT="2020-07-01T10:02:56.38" personId="{FED6160F-3A2B-4EBF-85B9-D543BA423E82}" id="{50915DD3-BA26-4309-BE59-71102141375D}">
    <text>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ext>
  </threadedComment>
  <threadedComment ref="C169" dT="2020-07-01T10:03:22.01" personId="{FED6160F-3A2B-4EBF-85B9-D543BA423E82}" id="{86DB5411-2EC1-450B-BCF4-96D34DC7BA6D}">
    <text>1.16	sixteenth, to credit the Arrears Reserve up to the Arrears Reserve Required Amount;</text>
  </threadedComment>
  <threadedComment ref="C170" dT="2020-07-01T10:05:05.09" personId="{FED6160F-3A2B-4EBF-85B9-D543BA423E82}" id="{C1255804-B46C-4BC7-85C8-9F0432C7D85F}">
    <text>1.17	seventeenth, if a Class B Interest Deferral Event has occurred on or prior to such Interest Payment Date, to pay interest due and payable in respect of the Class B Notes;</text>
  </threadedComment>
  <threadedComment ref="C171" dT="2020-07-01T12:04:10.91" personId="{FED6160F-3A2B-4EBF-85B9-D543BA423E82}" id="{4E18FD0C-7978-4A88-A1C4-7D34026C337B}">
    <text>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ext>
  </threadedComment>
  <threadedComment ref="C174" dT="2020-07-01T10:03:22.01" personId="{FED6160F-3A2B-4EBF-85B9-D543BA423E82}" id="{7D796C43-E186-4324-8880-F7B6A0921AA1}">
    <text>1.16	sixteenth, to credit the Arrears Reserve up to the Arrears Reserve Required Amount;</text>
  </threadedComment>
  <threadedComment ref="C175" dT="2020-07-01T12:05:33.95" personId="{FED6160F-3A2B-4EBF-85B9-D543BA423E82}" id="{D5E24189-6866-4F04-8490-0877F012F975}">
    <text>1.19	nineteenth, if a Class C Interest Deferral Event has occurred on or prior to such Interest Payment Date, to pay interest due and payable in respect of the Class C Notes;</text>
  </threadedComment>
  <threadedComment ref="C176" dT="2020-07-01T12:06:45.00" personId="{FED6160F-3A2B-4EBF-85B9-D543BA423E82}" id="{BC42A4E7-7938-4183-9291-6D7854155743}">
    <text>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ext>
  </threadedComment>
  <threadedComment ref="C178" dT="2020-07-01T12:08:33.83" personId="{FED6160F-3A2B-4EBF-85B9-D543BA423E82}" id="{5D8099D7-E368-44F9-BFEB-4BA584D05178}">
    <text>1.21	twenty-first, to pay or provide for pari passu and pro rata the Derivative Termination Amounts due and payable to any Derivative Counterparty under the Derivative Contracts where the Derivative Counterparty is in default;</text>
  </threadedComment>
  <threadedComment ref="C179" dT="2020-07-01T12:32:50.70" personId="{FED6160F-3A2B-4EBF-85B9-D543BA423E82}" id="{66205BB9-15D1-4B83-82E2-9381194EC441}">
    <text>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ext>
  </threadedComment>
  <threadedComment ref="C180" dT="2020-07-01T12:33:36.96" personId="{FED6160F-3A2B-4EBF-85B9-D543BA423E82}" id="{F7D5FD5A-787E-47E3-960F-C5A3106AA05E}">
    <text>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ext>
  </threadedComment>
  <threadedComment ref="C181" dT="2020-07-01T12:52:53.39" personId="{FED6160F-3A2B-4EBF-85B9-D543BA423E82}" id="{4E0D10A4-9E41-478C-9E66-09BA8F4E5E3F}">
    <text>1.24	twenty-forth, to pay amounts due and payable in respect of the Subordinated Loan;</text>
  </threadedComment>
  <threadedComment ref="C185" dT="2020-07-01T12:53:16.85" personId="{FED6160F-3A2B-4EBF-85B9-D543BA423E82}" id="{0C6F4168-6645-4401-B8C8-3BF6DA5B8D80}">
    <text>1.25	twenty-fifth, to pay or provide for the dividend due and payable to the Preference Shareholder, net of Taxes; and</text>
  </threadedComment>
  <threadedComment ref="C186" dT="2020-07-01T12:53:33.02" personId="{FED6160F-3A2B-4EBF-85B9-D543BA423E82}" id="{573A5867-22C9-4FEB-9756-15B570C831E3}">
    <text>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C08D8-25E9-481E-801B-F288F4DF84FD}">
  <dimension ref="B1:AB241"/>
  <sheetViews>
    <sheetView showGridLines="0" tabSelected="1" zoomScale="90" zoomScaleNormal="90" workbookViewId="0">
      <selection activeCell="J20" sqref="J20:R20"/>
    </sheetView>
  </sheetViews>
  <sheetFormatPr defaultColWidth="9.140625" defaultRowHeight="15"/>
  <cols>
    <col min="1" max="1" width="9.140625" style="1"/>
    <col min="2" max="2" width="3.42578125" style="1" customWidth="1"/>
    <col min="3" max="3" width="39.140625" style="1" customWidth="1"/>
    <col min="4" max="4" width="11.85546875" style="1" bestFit="1" customWidth="1"/>
    <col min="5" max="5" width="11.42578125" style="1" customWidth="1"/>
    <col min="6" max="6" width="9.140625" style="1"/>
    <col min="7" max="7" width="15.42578125" style="1" customWidth="1"/>
    <col min="8" max="8" width="16" style="1" customWidth="1"/>
    <col min="9" max="9" width="16.140625" style="1" customWidth="1"/>
    <col min="10" max="13" width="18.140625" style="1" customWidth="1"/>
    <col min="14" max="15" width="15.7109375" style="1" customWidth="1"/>
    <col min="16" max="16" width="17.7109375" style="1" bestFit="1" customWidth="1"/>
    <col min="17" max="17" width="17.7109375" style="1" customWidth="1"/>
    <col min="18" max="18" width="17.28515625" style="1" customWidth="1"/>
    <col min="19" max="19" width="4" style="1" customWidth="1"/>
    <col min="20" max="20" width="17.7109375" style="1" customWidth="1"/>
    <col min="21" max="21" width="13.85546875" style="1" bestFit="1" customWidth="1"/>
    <col min="22" max="22" width="14" style="1" customWidth="1"/>
    <col min="23" max="23" width="14.28515625" style="1" customWidth="1"/>
    <col min="24" max="24" width="12.85546875" style="1" bestFit="1" customWidth="1"/>
    <col min="25" max="25" width="13.5703125" style="1" customWidth="1"/>
    <col min="26" max="26" width="9.140625" style="1"/>
    <col min="27" max="27" width="13.5703125" style="1" bestFit="1" customWidth="1"/>
    <col min="28" max="28" width="12.140625" style="1" bestFit="1" customWidth="1"/>
    <col min="29" max="16384" width="9.140625" style="1"/>
  </cols>
  <sheetData>
    <row r="1" spans="2:19" ht="15.75" thickBot="1"/>
    <row r="2" spans="2:19" ht="15.75" thickBot="1">
      <c r="B2" s="2"/>
      <c r="C2" s="3"/>
      <c r="D2" s="3"/>
      <c r="E2" s="3"/>
      <c r="F2" s="3"/>
      <c r="G2" s="3"/>
      <c r="H2" s="3"/>
      <c r="I2" s="3"/>
      <c r="J2" s="3"/>
      <c r="K2" s="3"/>
      <c r="L2" s="3"/>
      <c r="M2" s="3"/>
      <c r="N2" s="3"/>
      <c r="O2" s="3"/>
      <c r="P2" s="3"/>
      <c r="Q2" s="3"/>
      <c r="R2" s="3"/>
      <c r="S2" s="4"/>
    </row>
    <row r="3" spans="2:19" ht="20.25" customHeight="1">
      <c r="B3" s="5"/>
      <c r="C3" s="380" t="s">
        <v>0</v>
      </c>
      <c r="D3" s="381"/>
      <c r="E3" s="381"/>
      <c r="F3" s="381"/>
      <c r="G3" s="381"/>
      <c r="H3" s="381"/>
      <c r="I3" s="381"/>
      <c r="J3" s="381"/>
      <c r="K3" s="381"/>
      <c r="L3" s="381"/>
      <c r="M3" s="381"/>
      <c r="N3" s="381"/>
      <c r="O3" s="381"/>
      <c r="P3" s="381"/>
      <c r="Q3" s="381"/>
      <c r="R3" s="382"/>
      <c r="S3" s="6"/>
    </row>
    <row r="4" spans="2:19" ht="20.25" customHeight="1" thickBot="1">
      <c r="B4" s="5"/>
      <c r="C4" s="383"/>
      <c r="D4" s="384"/>
      <c r="E4" s="384"/>
      <c r="F4" s="384"/>
      <c r="G4" s="384"/>
      <c r="H4" s="384"/>
      <c r="I4" s="384"/>
      <c r="J4" s="384"/>
      <c r="K4" s="384"/>
      <c r="L4" s="384"/>
      <c r="M4" s="384"/>
      <c r="N4" s="384"/>
      <c r="O4" s="384"/>
      <c r="P4" s="384"/>
      <c r="Q4" s="384"/>
      <c r="R4" s="385"/>
      <c r="S4" s="6"/>
    </row>
    <row r="5" spans="2:19" ht="15.75" thickBot="1">
      <c r="B5" s="5"/>
      <c r="C5" s="7"/>
      <c r="D5" s="7"/>
      <c r="E5" s="7"/>
      <c r="F5" s="7"/>
      <c r="G5" s="7"/>
      <c r="H5" s="7"/>
      <c r="I5" s="7"/>
      <c r="J5" s="7"/>
      <c r="K5" s="7"/>
      <c r="L5" s="7"/>
      <c r="M5" s="7"/>
      <c r="N5" s="7"/>
      <c r="O5" s="7"/>
      <c r="P5" s="7"/>
      <c r="Q5" s="7"/>
      <c r="R5" s="7"/>
      <c r="S5" s="6"/>
    </row>
    <row r="6" spans="2:19" ht="15.75" thickBot="1">
      <c r="B6" s="5"/>
      <c r="C6" s="386" t="s">
        <v>1</v>
      </c>
      <c r="D6" s="387"/>
      <c r="E6" s="387"/>
      <c r="F6" s="387"/>
      <c r="G6" s="387"/>
      <c r="H6" s="387"/>
      <c r="I6" s="387"/>
      <c r="J6" s="387"/>
      <c r="K6" s="387"/>
      <c r="L6" s="387"/>
      <c r="M6" s="387"/>
      <c r="N6" s="387"/>
      <c r="O6" s="387"/>
      <c r="P6" s="387"/>
      <c r="Q6" s="387"/>
      <c r="R6" s="388"/>
      <c r="S6" s="6"/>
    </row>
    <row r="7" spans="2:19" ht="15.75" thickBot="1">
      <c r="B7" s="5"/>
      <c r="C7" s="7"/>
      <c r="D7" s="7"/>
      <c r="E7" s="7"/>
      <c r="F7" s="7"/>
      <c r="G7" s="7"/>
      <c r="H7" s="7"/>
      <c r="I7" s="7"/>
      <c r="J7" s="7"/>
      <c r="K7" s="7"/>
      <c r="L7" s="7"/>
      <c r="M7" s="7"/>
      <c r="N7" s="7"/>
      <c r="O7" s="7"/>
      <c r="P7" s="7"/>
      <c r="Q7" s="7"/>
      <c r="R7" s="7"/>
      <c r="S7" s="6"/>
    </row>
    <row r="8" spans="2:19">
      <c r="B8" s="5"/>
      <c r="C8" s="8" t="s">
        <v>2</v>
      </c>
      <c r="D8" s="9"/>
      <c r="E8" s="9"/>
      <c r="F8" s="9"/>
      <c r="G8" s="9"/>
      <c r="H8" s="9"/>
      <c r="I8" s="10"/>
      <c r="J8" s="389">
        <f>J9+12</f>
        <v>45058</v>
      </c>
      <c r="K8" s="389"/>
      <c r="L8" s="389"/>
      <c r="M8" s="389"/>
      <c r="N8" s="389"/>
      <c r="O8" s="389"/>
      <c r="P8" s="389"/>
      <c r="Q8" s="390"/>
      <c r="R8" s="391"/>
      <c r="S8" s="6"/>
    </row>
    <row r="9" spans="2:19">
      <c r="B9" s="5"/>
      <c r="C9" s="11" t="s">
        <v>3</v>
      </c>
      <c r="D9" s="12"/>
      <c r="E9" s="12"/>
      <c r="F9" s="12"/>
      <c r="G9" s="12"/>
      <c r="H9" s="12"/>
      <c r="I9" s="13"/>
      <c r="J9" s="371">
        <f>'Servicer Report'!J9</f>
        <v>45046</v>
      </c>
      <c r="K9" s="371"/>
      <c r="L9" s="371"/>
      <c r="M9" s="371"/>
      <c r="N9" s="371"/>
      <c r="O9" s="371"/>
      <c r="P9" s="371"/>
      <c r="Q9" s="372"/>
      <c r="R9" s="373"/>
      <c r="S9" s="6"/>
    </row>
    <row r="10" spans="2:19">
      <c r="B10" s="5"/>
      <c r="C10" s="374" t="s">
        <v>4</v>
      </c>
      <c r="D10" s="375"/>
      <c r="E10" s="392"/>
      <c r="F10" s="15" t="s">
        <v>5</v>
      </c>
      <c r="G10" s="12"/>
      <c r="H10" s="12"/>
      <c r="I10" s="13"/>
      <c r="J10" s="371">
        <f>'Servicer Report'!J10</f>
        <v>44957</v>
      </c>
      <c r="K10" s="371"/>
      <c r="L10" s="371"/>
      <c r="M10" s="371"/>
      <c r="N10" s="371"/>
      <c r="O10" s="371"/>
      <c r="P10" s="371"/>
      <c r="Q10" s="372"/>
      <c r="R10" s="373"/>
      <c r="S10" s="6"/>
    </row>
    <row r="11" spans="2:19" ht="15" customHeight="1">
      <c r="B11" s="5"/>
      <c r="C11" s="377"/>
      <c r="D11" s="378"/>
      <c r="E11" s="376"/>
      <c r="F11" s="18" t="s">
        <v>6</v>
      </c>
      <c r="G11" s="12"/>
      <c r="H11" s="12"/>
      <c r="I11" s="13"/>
      <c r="J11" s="371">
        <f>'Servicer Report'!J11</f>
        <v>45046</v>
      </c>
      <c r="K11" s="371"/>
      <c r="L11" s="371"/>
      <c r="M11" s="371"/>
      <c r="N11" s="371"/>
      <c r="O11" s="371"/>
      <c r="P11" s="371"/>
      <c r="Q11" s="372"/>
      <c r="R11" s="373"/>
      <c r="S11" s="6"/>
    </row>
    <row r="12" spans="2:19">
      <c r="B12" s="5"/>
      <c r="C12" s="16" t="s">
        <v>7</v>
      </c>
      <c r="D12" s="19"/>
      <c r="E12" s="20"/>
      <c r="F12" s="21"/>
      <c r="G12" s="12"/>
      <c r="H12" s="12"/>
      <c r="I12" s="13"/>
      <c r="J12" s="368">
        <f>J11-J10</f>
        <v>89</v>
      </c>
      <c r="K12" s="368"/>
      <c r="L12" s="368"/>
      <c r="M12" s="368"/>
      <c r="N12" s="368"/>
      <c r="O12" s="368"/>
      <c r="P12" s="368"/>
      <c r="Q12" s="369"/>
      <c r="R12" s="370"/>
      <c r="S12" s="6"/>
    </row>
    <row r="13" spans="2:19">
      <c r="B13" s="5"/>
      <c r="C13" s="22" t="s">
        <v>8</v>
      </c>
      <c r="D13" s="21"/>
      <c r="E13" s="21"/>
      <c r="F13" s="21"/>
      <c r="G13" s="21"/>
      <c r="H13" s="21"/>
      <c r="I13" s="23"/>
      <c r="J13" s="371">
        <v>45061</v>
      </c>
      <c r="K13" s="371"/>
      <c r="L13" s="371"/>
      <c r="M13" s="371"/>
      <c r="N13" s="371"/>
      <c r="O13" s="371"/>
      <c r="P13" s="371"/>
      <c r="Q13" s="372"/>
      <c r="R13" s="373"/>
      <c r="S13" s="6"/>
    </row>
    <row r="14" spans="2:19">
      <c r="B14" s="5"/>
      <c r="C14" s="374" t="s">
        <v>9</v>
      </c>
      <c r="D14" s="375"/>
      <c r="E14" s="376"/>
      <c r="F14" s="24" t="s">
        <v>10</v>
      </c>
      <c r="G14" s="21"/>
      <c r="H14" s="21"/>
      <c r="I14" s="23"/>
      <c r="J14" s="371">
        <f>'Servicer Report'!J17</f>
        <v>44972</v>
      </c>
      <c r="K14" s="371"/>
      <c r="L14" s="371"/>
      <c r="M14" s="371"/>
      <c r="N14" s="371"/>
      <c r="O14" s="371"/>
      <c r="P14" s="371"/>
      <c r="Q14" s="372"/>
      <c r="R14" s="373"/>
      <c r="S14" s="6"/>
    </row>
    <row r="15" spans="2:19" ht="15" customHeight="1">
      <c r="B15" s="5"/>
      <c r="C15" s="377"/>
      <c r="D15" s="378"/>
      <c r="E15" s="379"/>
      <c r="F15" s="15" t="s">
        <v>11</v>
      </c>
      <c r="G15" s="21"/>
      <c r="H15" s="21"/>
      <c r="I15" s="23"/>
      <c r="J15" s="371">
        <f>J13</f>
        <v>45061</v>
      </c>
      <c r="K15" s="371"/>
      <c r="L15" s="371"/>
      <c r="M15" s="371"/>
      <c r="N15" s="371"/>
      <c r="O15" s="371"/>
      <c r="P15" s="371"/>
      <c r="Q15" s="372"/>
      <c r="R15" s="373"/>
      <c r="S15" s="6"/>
    </row>
    <row r="16" spans="2:19">
      <c r="B16" s="5"/>
      <c r="C16" s="16" t="s">
        <v>12</v>
      </c>
      <c r="D16" s="17"/>
      <c r="E16" s="17"/>
      <c r="F16" s="21"/>
      <c r="G16" s="21"/>
      <c r="H16" s="21"/>
      <c r="I16" s="23"/>
      <c r="J16" s="368">
        <f>J15-J14</f>
        <v>89</v>
      </c>
      <c r="K16" s="368"/>
      <c r="L16" s="368"/>
      <c r="M16" s="368"/>
      <c r="N16" s="368"/>
      <c r="O16" s="368"/>
      <c r="P16" s="368"/>
      <c r="Q16" s="369"/>
      <c r="R16" s="370"/>
      <c r="S16" s="6"/>
    </row>
    <row r="17" spans="2:21">
      <c r="B17" s="5"/>
      <c r="C17" s="25" t="s">
        <v>13</v>
      </c>
      <c r="D17" s="20"/>
      <c r="E17" s="20"/>
      <c r="F17" s="21"/>
      <c r="G17" s="21"/>
      <c r="H17" s="21"/>
      <c r="I17" s="23"/>
      <c r="J17" s="359">
        <f>SUM(G31:R31)</f>
        <v>1412000000</v>
      </c>
      <c r="K17" s="359"/>
      <c r="L17" s="359"/>
      <c r="M17" s="359"/>
      <c r="N17" s="359"/>
      <c r="O17" s="359"/>
      <c r="P17" s="359"/>
      <c r="Q17" s="360"/>
      <c r="R17" s="361"/>
      <c r="S17" s="6"/>
    </row>
    <row r="18" spans="2:21">
      <c r="B18" s="5"/>
      <c r="C18" s="25" t="s">
        <v>14</v>
      </c>
      <c r="D18" s="20"/>
      <c r="E18" s="20"/>
      <c r="F18" s="21"/>
      <c r="G18" s="21"/>
      <c r="H18" s="21"/>
      <c r="I18" s="23"/>
      <c r="J18" s="359">
        <f>SUM(G35:R35)</f>
        <v>1291729862</v>
      </c>
      <c r="K18" s="359"/>
      <c r="L18" s="359"/>
      <c r="M18" s="359"/>
      <c r="N18" s="359"/>
      <c r="O18" s="359"/>
      <c r="P18" s="359"/>
      <c r="Q18" s="360"/>
      <c r="R18" s="361"/>
      <c r="S18" s="6"/>
      <c r="U18" s="26"/>
    </row>
    <row r="19" spans="2:21">
      <c r="B19" s="5"/>
      <c r="C19" s="16" t="s">
        <v>15</v>
      </c>
      <c r="D19" s="17"/>
      <c r="E19" s="17"/>
      <c r="F19" s="12"/>
      <c r="G19" s="12"/>
      <c r="H19" s="12"/>
      <c r="I19" s="13"/>
      <c r="J19" s="359">
        <f>SUM(G40:R40)</f>
        <v>1263984820</v>
      </c>
      <c r="K19" s="359"/>
      <c r="L19" s="359"/>
      <c r="M19" s="359"/>
      <c r="N19" s="359"/>
      <c r="O19" s="359"/>
      <c r="P19" s="359"/>
      <c r="Q19" s="360"/>
      <c r="R19" s="361"/>
      <c r="S19" s="6"/>
    </row>
    <row r="20" spans="2:21" ht="15.75" thickBot="1">
      <c r="B20" s="5"/>
      <c r="C20" s="27" t="s">
        <v>16</v>
      </c>
      <c r="D20" s="28"/>
      <c r="E20" s="28"/>
      <c r="F20" s="28"/>
      <c r="G20" s="28"/>
      <c r="H20" s="28"/>
      <c r="I20" s="28"/>
      <c r="J20" s="362" t="s">
        <v>17</v>
      </c>
      <c r="K20" s="362"/>
      <c r="L20" s="362"/>
      <c r="M20" s="362"/>
      <c r="N20" s="362"/>
      <c r="O20" s="362"/>
      <c r="P20" s="362"/>
      <c r="Q20" s="363"/>
      <c r="R20" s="364"/>
      <c r="S20" s="6"/>
    </row>
    <row r="21" spans="2:21" ht="15.75" thickBot="1">
      <c r="B21" s="5"/>
      <c r="C21" s="7"/>
      <c r="D21" s="7"/>
      <c r="E21" s="7"/>
      <c r="F21" s="7"/>
      <c r="G21" s="7"/>
      <c r="H21" s="7"/>
      <c r="I21" s="7"/>
      <c r="J21" s="7"/>
      <c r="K21" s="7"/>
      <c r="L21" s="7"/>
      <c r="M21" s="7"/>
      <c r="N21" s="7"/>
      <c r="O21" s="7"/>
      <c r="P21" s="7"/>
      <c r="Q21" s="7"/>
      <c r="R21" s="7"/>
      <c r="S21" s="6"/>
    </row>
    <row r="22" spans="2:21">
      <c r="B22" s="5"/>
      <c r="C22" s="365" t="s">
        <v>18</v>
      </c>
      <c r="D22" s="366"/>
      <c r="E22" s="366"/>
      <c r="F22" s="366"/>
      <c r="G22" s="366"/>
      <c r="H22" s="366"/>
      <c r="I22" s="366"/>
      <c r="J22" s="366"/>
      <c r="K22" s="366"/>
      <c r="L22" s="366"/>
      <c r="M22" s="366"/>
      <c r="N22" s="366"/>
      <c r="O22" s="366"/>
      <c r="P22" s="366"/>
      <c r="Q22" s="366"/>
      <c r="R22" s="367"/>
      <c r="S22" s="6"/>
    </row>
    <row r="23" spans="2:21">
      <c r="B23" s="5"/>
      <c r="C23" s="22" t="s">
        <v>19</v>
      </c>
      <c r="D23" s="29"/>
      <c r="E23" s="29"/>
      <c r="F23" s="29"/>
      <c r="G23" s="15" t="s">
        <v>20</v>
      </c>
      <c r="H23" s="15" t="s">
        <v>21</v>
      </c>
      <c r="I23" s="15" t="s">
        <v>22</v>
      </c>
      <c r="J23" s="15" t="s">
        <v>23</v>
      </c>
      <c r="K23" s="15" t="s">
        <v>24</v>
      </c>
      <c r="L23" s="15" t="s">
        <v>25</v>
      </c>
      <c r="M23" s="15" t="s">
        <v>26</v>
      </c>
      <c r="N23" s="15" t="s">
        <v>27</v>
      </c>
      <c r="O23" s="15" t="s">
        <v>27</v>
      </c>
      <c r="P23" s="15" t="s">
        <v>28</v>
      </c>
      <c r="Q23" s="30" t="s">
        <v>28</v>
      </c>
      <c r="R23" s="31" t="s">
        <v>28</v>
      </c>
      <c r="S23" s="6"/>
    </row>
    <row r="24" spans="2:21">
      <c r="B24" s="5"/>
      <c r="C24" s="32" t="s">
        <v>29</v>
      </c>
      <c r="D24" s="33"/>
      <c r="E24" s="33"/>
      <c r="F24" s="33"/>
      <c r="G24" s="34" t="s">
        <v>30</v>
      </c>
      <c r="H24" s="34" t="s">
        <v>31</v>
      </c>
      <c r="I24" s="34" t="s">
        <v>32</v>
      </c>
      <c r="J24" s="34" t="s">
        <v>33</v>
      </c>
      <c r="K24" s="34" t="s">
        <v>34</v>
      </c>
      <c r="L24" s="34" t="s">
        <v>35</v>
      </c>
      <c r="M24" s="34" t="s">
        <v>36</v>
      </c>
      <c r="N24" s="34" t="s">
        <v>37</v>
      </c>
      <c r="O24" s="34" t="s">
        <v>38</v>
      </c>
      <c r="P24" s="34" t="s">
        <v>39</v>
      </c>
      <c r="Q24" s="35" t="s">
        <v>40</v>
      </c>
      <c r="R24" s="36" t="s">
        <v>41</v>
      </c>
      <c r="S24" s="6"/>
    </row>
    <row r="25" spans="2:21">
      <c r="B25" s="5"/>
      <c r="C25" s="22" t="s">
        <v>42</v>
      </c>
      <c r="D25" s="29"/>
      <c r="E25" s="29"/>
      <c r="F25" s="29"/>
      <c r="G25" s="34" t="s">
        <v>43</v>
      </c>
      <c r="H25" s="34" t="s">
        <v>44</v>
      </c>
      <c r="I25" s="34" t="s">
        <v>45</v>
      </c>
      <c r="J25" s="34" t="s">
        <v>46</v>
      </c>
      <c r="K25" s="34" t="s">
        <v>47</v>
      </c>
      <c r="L25" s="34" t="s">
        <v>48</v>
      </c>
      <c r="M25" s="34" t="s">
        <v>49</v>
      </c>
      <c r="N25" s="34" t="s">
        <v>50</v>
      </c>
      <c r="O25" s="34" t="s">
        <v>50</v>
      </c>
      <c r="P25" s="34" t="s">
        <v>51</v>
      </c>
      <c r="Q25" s="35" t="s">
        <v>52</v>
      </c>
      <c r="R25" s="37" t="s">
        <v>53</v>
      </c>
      <c r="S25" s="6"/>
    </row>
    <row r="26" spans="2:21">
      <c r="B26" s="5"/>
      <c r="C26" s="22" t="s">
        <v>54</v>
      </c>
      <c r="D26" s="29"/>
      <c r="E26" s="29"/>
      <c r="F26" s="29"/>
      <c r="G26" s="34" t="s">
        <v>55</v>
      </c>
      <c r="H26" s="34" t="s">
        <v>55</v>
      </c>
      <c r="I26" s="38" t="s">
        <v>55</v>
      </c>
      <c r="J26" s="38" t="s">
        <v>55</v>
      </c>
      <c r="K26" s="38" t="s">
        <v>55</v>
      </c>
      <c r="L26" s="38" t="s">
        <v>55</v>
      </c>
      <c r="M26" s="38" t="s">
        <v>56</v>
      </c>
      <c r="N26" s="38" t="s">
        <v>55</v>
      </c>
      <c r="O26" s="38" t="s">
        <v>55</v>
      </c>
      <c r="P26" s="38" t="s">
        <v>55</v>
      </c>
      <c r="Q26" s="39" t="s">
        <v>55</v>
      </c>
      <c r="R26" s="36" t="s">
        <v>55</v>
      </c>
      <c r="S26" s="6"/>
    </row>
    <row r="27" spans="2:21">
      <c r="B27" s="5"/>
      <c r="C27" s="32" t="s">
        <v>57</v>
      </c>
      <c r="D27" s="33"/>
      <c r="E27" s="33"/>
      <c r="F27" s="33"/>
      <c r="G27" s="40">
        <v>1.55E-2</v>
      </c>
      <c r="H27" s="41">
        <v>1.7000000000000001E-2</v>
      </c>
      <c r="I27" s="42">
        <v>1.4999999999999999E-2</v>
      </c>
      <c r="J27" s="42">
        <v>2.1999999999999999E-2</v>
      </c>
      <c r="K27" s="42">
        <v>2.35E-2</v>
      </c>
      <c r="L27" s="42">
        <v>2.5000000000000001E-2</v>
      </c>
      <c r="M27" s="43" t="s">
        <v>58</v>
      </c>
      <c r="N27" s="42">
        <v>2.5000000000000001E-2</v>
      </c>
      <c r="O27" s="42">
        <v>2.7400000000000001E-2</v>
      </c>
      <c r="P27" s="42">
        <v>3.7999999999999999E-2</v>
      </c>
      <c r="Q27" s="44">
        <v>0.04</v>
      </c>
      <c r="R27" s="45">
        <v>3.6999999999999998E-2</v>
      </c>
      <c r="S27" s="6"/>
    </row>
    <row r="28" spans="2:21">
      <c r="B28" s="5"/>
      <c r="C28" s="22" t="s">
        <v>59</v>
      </c>
      <c r="D28" s="29"/>
      <c r="E28" s="29"/>
      <c r="F28" s="29"/>
      <c r="G28" s="40">
        <f t="shared" ref="G28:P28" si="0">G27*1.3</f>
        <v>2.0150000000000001E-2</v>
      </c>
      <c r="H28" s="41">
        <f t="shared" si="0"/>
        <v>2.2100000000000002E-2</v>
      </c>
      <c r="I28" s="42">
        <f>I27*1.3</f>
        <v>1.95E-2</v>
      </c>
      <c r="J28" s="42">
        <f t="shared" si="0"/>
        <v>2.86E-2</v>
      </c>
      <c r="K28" s="42">
        <f t="shared" si="0"/>
        <v>3.0550000000000001E-2</v>
      </c>
      <c r="L28" s="42">
        <f t="shared" si="0"/>
        <v>3.2500000000000001E-2</v>
      </c>
      <c r="M28" s="42">
        <f>L28</f>
        <v>3.2500000000000001E-2</v>
      </c>
      <c r="N28" s="42">
        <f t="shared" si="0"/>
        <v>3.2500000000000001E-2</v>
      </c>
      <c r="O28" s="42">
        <f t="shared" si="0"/>
        <v>3.5619999999999999E-2</v>
      </c>
      <c r="P28" s="42">
        <f t="shared" si="0"/>
        <v>4.9399999999999999E-2</v>
      </c>
      <c r="Q28" s="44">
        <v>5.2000000000000005E-2</v>
      </c>
      <c r="R28" s="45">
        <f>R27*1.3</f>
        <v>4.8099999999999997E-2</v>
      </c>
      <c r="S28" s="6"/>
    </row>
    <row r="29" spans="2:21">
      <c r="B29" s="5"/>
      <c r="C29" s="22" t="s">
        <v>60</v>
      </c>
      <c r="D29" s="29"/>
      <c r="E29" s="29"/>
      <c r="F29" s="29"/>
      <c r="G29" s="46">
        <f>'Servicer Report'!$J$16</f>
        <v>7.4499999999999997E-2</v>
      </c>
      <c r="H29" s="47">
        <f>'Servicer Report'!$J$16</f>
        <v>7.4499999999999997E-2</v>
      </c>
      <c r="I29" s="47">
        <f>'Servicer Report'!$J$16</f>
        <v>7.4499999999999997E-2</v>
      </c>
      <c r="J29" s="48">
        <f>'Servicer Report'!$J$16</f>
        <v>7.4499999999999997E-2</v>
      </c>
      <c r="K29" s="48">
        <f>'Servicer Report'!$J$16</f>
        <v>7.4499999999999997E-2</v>
      </c>
      <c r="L29" s="48">
        <f>'Servicer Report'!$J$16</f>
        <v>7.4499999999999997E-2</v>
      </c>
      <c r="M29" s="49" t="s">
        <v>58</v>
      </c>
      <c r="N29" s="48">
        <f>'Servicer Report'!$J$16</f>
        <v>7.4499999999999997E-2</v>
      </c>
      <c r="O29" s="48">
        <f>'Servicer Report'!$J$16</f>
        <v>7.4499999999999997E-2</v>
      </c>
      <c r="P29" s="48">
        <f>'Servicer Report'!$J$16</f>
        <v>7.4499999999999997E-2</v>
      </c>
      <c r="Q29" s="50">
        <f>'Servicer Report'!$J$16</f>
        <v>7.4499999999999997E-2</v>
      </c>
      <c r="R29" s="51">
        <f>'Servicer Report'!$J$16</f>
        <v>7.4499999999999997E-2</v>
      </c>
      <c r="S29" s="6"/>
    </row>
    <row r="30" spans="2:21">
      <c r="B30" s="5"/>
      <c r="C30" s="22" t="s">
        <v>61</v>
      </c>
      <c r="D30" s="29"/>
      <c r="E30" s="29"/>
      <c r="F30" s="29"/>
      <c r="G30" s="40">
        <f>G29+G27</f>
        <v>0.09</v>
      </c>
      <c r="H30" s="41">
        <f>H29+H27</f>
        <v>9.1499999999999998E-2</v>
      </c>
      <c r="I30" s="42">
        <f>I29+I27</f>
        <v>8.9499999999999996E-2</v>
      </c>
      <c r="J30" s="42">
        <f t="shared" ref="J30:K30" si="1">J29+J27</f>
        <v>9.6500000000000002E-2</v>
      </c>
      <c r="K30" s="42">
        <f t="shared" si="1"/>
        <v>9.8000000000000004E-2</v>
      </c>
      <c r="L30" s="42">
        <f>L29+L27</f>
        <v>9.9500000000000005E-2</v>
      </c>
      <c r="M30" s="52">
        <v>0.10235</v>
      </c>
      <c r="N30" s="42">
        <f t="shared" ref="N30:O30" si="2">N29+N27</f>
        <v>9.9500000000000005E-2</v>
      </c>
      <c r="O30" s="42">
        <f t="shared" si="2"/>
        <v>0.10189999999999999</v>
      </c>
      <c r="P30" s="42">
        <f>P29+P27</f>
        <v>0.11249999999999999</v>
      </c>
      <c r="Q30" s="42">
        <f>Q29+Q27</f>
        <v>0.11449999999999999</v>
      </c>
      <c r="R30" s="45">
        <f>R27+R29</f>
        <v>0.11149999999999999</v>
      </c>
      <c r="S30" s="6"/>
    </row>
    <row r="31" spans="2:21">
      <c r="B31" s="5"/>
      <c r="C31" s="32" t="s">
        <v>62</v>
      </c>
      <c r="D31" s="33"/>
      <c r="E31" s="33"/>
      <c r="F31" s="33"/>
      <c r="G31" s="53">
        <v>202000000</v>
      </c>
      <c r="H31" s="53">
        <v>27000000</v>
      </c>
      <c r="I31" s="54">
        <v>150000000</v>
      </c>
      <c r="J31" s="54">
        <v>309000000</v>
      </c>
      <c r="K31" s="54">
        <v>283000000</v>
      </c>
      <c r="L31" s="54">
        <v>135000000</v>
      </c>
      <c r="M31" s="54">
        <v>60000000</v>
      </c>
      <c r="N31" s="54">
        <v>73000000</v>
      </c>
      <c r="O31" s="54">
        <v>118000000</v>
      </c>
      <c r="P31" s="54">
        <v>25000000</v>
      </c>
      <c r="Q31" s="55">
        <v>12000000</v>
      </c>
      <c r="R31" s="56">
        <v>18000000</v>
      </c>
      <c r="S31" s="6"/>
    </row>
    <row r="32" spans="2:21">
      <c r="B32" s="5"/>
      <c r="C32" s="22" t="s">
        <v>63</v>
      </c>
      <c r="D32" s="29"/>
      <c r="E32" s="29"/>
      <c r="F32" s="29"/>
      <c r="G32" s="40">
        <f t="shared" ref="G32:M32" si="3">G31/SUM($G$31:$R$31)</f>
        <v>0.14305949008498584</v>
      </c>
      <c r="H32" s="41">
        <f t="shared" si="3"/>
        <v>1.9121813031161474E-2</v>
      </c>
      <c r="I32" s="42">
        <f t="shared" si="3"/>
        <v>0.10623229461756374</v>
      </c>
      <c r="J32" s="42">
        <f t="shared" si="3"/>
        <v>0.21883852691218131</v>
      </c>
      <c r="K32" s="42">
        <f t="shared" si="3"/>
        <v>0.20042492917847027</v>
      </c>
      <c r="L32" s="42">
        <f t="shared" si="3"/>
        <v>9.560906515580736E-2</v>
      </c>
      <c r="M32" s="42">
        <f t="shared" si="3"/>
        <v>4.2492917847025496E-2</v>
      </c>
      <c r="N32" s="42">
        <f>N31/SUM($E$31:$R$31)</f>
        <v>5.1699716713881017E-2</v>
      </c>
      <c r="O32" s="42">
        <f>O31/SUM($G$31:$R$31)</f>
        <v>8.3569405099150146E-2</v>
      </c>
      <c r="P32" s="42">
        <f>P31/SUM($E$31:$R$31)</f>
        <v>1.7705382436260624E-2</v>
      </c>
      <c r="Q32" s="42">
        <f>Q31/SUM($E$31:$R$31)</f>
        <v>8.4985835694051E-3</v>
      </c>
      <c r="R32" s="57">
        <f>R31/SUM($G$31:$R$31)</f>
        <v>1.2747875354107648E-2</v>
      </c>
      <c r="S32" s="6"/>
    </row>
    <row r="33" spans="2:19">
      <c r="B33" s="5"/>
      <c r="C33" s="22" t="s">
        <v>64</v>
      </c>
      <c r="D33" s="29"/>
      <c r="E33" s="29"/>
      <c r="F33" s="29"/>
      <c r="G33" s="40">
        <v>7.3512632997581456E-2</v>
      </c>
      <c r="H33" s="40">
        <v>1.3825705761838834E-2</v>
      </c>
      <c r="I33" s="40">
        <v>8.9207877734629862E-2</v>
      </c>
      <c r="J33" s="40">
        <v>0.21084841337974933</v>
      </c>
      <c r="K33" s="40">
        <v>0.19310712293355684</v>
      </c>
      <c r="L33" s="40">
        <v>9.2118238855230294E-2</v>
      </c>
      <c r="M33" s="40">
        <v>4.0941439491213462E-2</v>
      </c>
      <c r="N33" s="40">
        <v>4.9812084714309715E-2</v>
      </c>
      <c r="O33" s="40">
        <v>8.0518164332719813E-2</v>
      </c>
      <c r="P33" s="40">
        <v>1.7058933121338944E-2</v>
      </c>
      <c r="Q33" s="40">
        <v>8.1882878982426927E-3</v>
      </c>
      <c r="R33" s="57">
        <v>1.2282431847364038E-2</v>
      </c>
      <c r="S33" s="6"/>
    </row>
    <row r="34" spans="2:19">
      <c r="B34" s="5"/>
      <c r="C34" s="58" t="s">
        <v>65</v>
      </c>
      <c r="D34" s="29"/>
      <c r="E34" s="29"/>
      <c r="F34" s="29"/>
      <c r="G34" s="41">
        <f>1-SUM($G$33:$I$33)</f>
        <v>0.82345378350594989</v>
      </c>
      <c r="H34" s="41">
        <f t="shared" ref="H34:I34" si="4">1-SUM($G$33:$I$33)</f>
        <v>0.82345378350594989</v>
      </c>
      <c r="I34" s="42">
        <f t="shared" si="4"/>
        <v>0.82345378350594989</v>
      </c>
      <c r="J34" s="42">
        <f>1-SUM($G$33:$M$33)</f>
        <v>0.2864385688462</v>
      </c>
      <c r="K34" s="42">
        <f t="shared" ref="K34:M34" si="5">1-SUM($G$33:$M$33)</f>
        <v>0.2864385688462</v>
      </c>
      <c r="L34" s="42">
        <f t="shared" si="5"/>
        <v>0.2864385688462</v>
      </c>
      <c r="M34" s="42">
        <f t="shared" si="5"/>
        <v>0.2864385688462</v>
      </c>
      <c r="N34" s="42">
        <f>1-SUM($G$33:$O$33)</f>
        <v>0.15610831979917039</v>
      </c>
      <c r="O34" s="42">
        <f>1-SUM($G$33:$O$33)</f>
        <v>0.15610831979917039</v>
      </c>
      <c r="P34" s="42">
        <f>1-SUM($G$33:$R$33)</f>
        <v>0.11857866693222474</v>
      </c>
      <c r="Q34" s="42">
        <f t="shared" ref="Q34:R34" si="6">1-SUM($G$33:$R$33)</f>
        <v>0.11857866693222474</v>
      </c>
      <c r="R34" s="57">
        <f t="shared" si="6"/>
        <v>0.11857866693222474</v>
      </c>
      <c r="S34" s="6"/>
    </row>
    <row r="35" spans="2:19">
      <c r="B35" s="5"/>
      <c r="C35" s="22" t="s">
        <v>66</v>
      </c>
      <c r="D35" s="29"/>
      <c r="E35" s="29"/>
      <c r="F35" s="29"/>
      <c r="G35" s="53">
        <v>107733339</v>
      </c>
      <c r="H35" s="53">
        <v>20261680</v>
      </c>
      <c r="I35" s="54">
        <v>130734843</v>
      </c>
      <c r="J35" s="54">
        <v>309000000</v>
      </c>
      <c r="K35" s="54">
        <v>283000000</v>
      </c>
      <c r="L35" s="54">
        <v>135000000</v>
      </c>
      <c r="M35" s="54">
        <v>60000000</v>
      </c>
      <c r="N35" s="54">
        <v>73000000</v>
      </c>
      <c r="O35" s="54">
        <v>118000000</v>
      </c>
      <c r="P35" s="54">
        <v>25000000</v>
      </c>
      <c r="Q35" s="55">
        <v>12000000</v>
      </c>
      <c r="R35" s="56">
        <v>18000000</v>
      </c>
      <c r="S35" s="6"/>
    </row>
    <row r="36" spans="2:19">
      <c r="B36" s="5"/>
      <c r="C36" s="22" t="s">
        <v>67</v>
      </c>
      <c r="D36" s="29"/>
      <c r="E36" s="29"/>
      <c r="F36" s="29"/>
      <c r="G36" s="53">
        <f>G35*G30*$J$16/365</f>
        <v>2364230.2613424659</v>
      </c>
      <c r="H36" s="54">
        <f t="shared" ref="H36:Q36" si="7">H35*H30*$J$16/365</f>
        <v>452057.50980821915</v>
      </c>
      <c r="I36" s="54">
        <f>I35*I30*$J$16/365</f>
        <v>2853064.0874424656</v>
      </c>
      <c r="J36" s="54">
        <f t="shared" si="7"/>
        <v>7270812.3287671236</v>
      </c>
      <c r="K36" s="54">
        <f t="shared" si="7"/>
        <v>6762536.98630137</v>
      </c>
      <c r="L36" s="54">
        <f>L35*L30*$J$16/365</f>
        <v>3275321.9178082193</v>
      </c>
      <c r="M36" s="54">
        <f>M35*M30*152/365</f>
        <v>2557347.9452054794</v>
      </c>
      <c r="N36" s="54">
        <f t="shared" si="7"/>
        <v>1771100</v>
      </c>
      <c r="O36" s="54">
        <f t="shared" si="7"/>
        <v>2931928.219178082</v>
      </c>
      <c r="P36" s="54">
        <f t="shared" si="7"/>
        <v>685787.6712328766</v>
      </c>
      <c r="Q36" s="59">
        <f t="shared" si="7"/>
        <v>335030.1369863014</v>
      </c>
      <c r="R36" s="56">
        <f>R35*R30*$J$16/365</f>
        <v>489378.08219178073</v>
      </c>
      <c r="S36" s="6"/>
    </row>
    <row r="37" spans="2:19">
      <c r="B37" s="5"/>
      <c r="C37" s="22" t="s">
        <v>68</v>
      </c>
      <c r="D37" s="29"/>
      <c r="E37" s="29"/>
      <c r="F37" s="29"/>
      <c r="G37" s="53">
        <f t="shared" ref="G37:R37" si="8">G36</f>
        <v>2364230.2613424659</v>
      </c>
      <c r="H37" s="54">
        <f t="shared" si="8"/>
        <v>452057.50980821915</v>
      </c>
      <c r="I37" s="54">
        <f t="shared" si="8"/>
        <v>2853064.0874424656</v>
      </c>
      <c r="J37" s="54">
        <f t="shared" si="8"/>
        <v>7270812.3287671236</v>
      </c>
      <c r="K37" s="54">
        <f t="shared" si="8"/>
        <v>6762536.98630137</v>
      </c>
      <c r="L37" s="54">
        <f t="shared" si="8"/>
        <v>3275321.9178082193</v>
      </c>
      <c r="M37" s="54">
        <f t="shared" si="8"/>
        <v>2557347.9452054794</v>
      </c>
      <c r="N37" s="54">
        <f t="shared" si="8"/>
        <v>1771100</v>
      </c>
      <c r="O37" s="54">
        <f t="shared" si="8"/>
        <v>2931928.219178082</v>
      </c>
      <c r="P37" s="54">
        <f t="shared" si="8"/>
        <v>685787.6712328766</v>
      </c>
      <c r="Q37" s="55">
        <f t="shared" si="8"/>
        <v>335030.1369863014</v>
      </c>
      <c r="R37" s="56">
        <f t="shared" si="8"/>
        <v>489378.08219178073</v>
      </c>
      <c r="S37" s="6"/>
    </row>
    <row r="38" spans="2:19">
      <c r="B38" s="5"/>
      <c r="C38" s="22" t="s">
        <v>69</v>
      </c>
      <c r="D38" s="29"/>
      <c r="E38" s="29"/>
      <c r="F38" s="29"/>
      <c r="G38" s="53">
        <f t="shared" ref="G38:R38" si="9">G36-G37</f>
        <v>0</v>
      </c>
      <c r="H38" s="54">
        <f t="shared" si="9"/>
        <v>0</v>
      </c>
      <c r="I38" s="54">
        <f t="shared" si="9"/>
        <v>0</v>
      </c>
      <c r="J38" s="54">
        <f t="shared" si="9"/>
        <v>0</v>
      </c>
      <c r="K38" s="54">
        <f t="shared" si="9"/>
        <v>0</v>
      </c>
      <c r="L38" s="54">
        <f t="shared" si="9"/>
        <v>0</v>
      </c>
      <c r="M38" s="54">
        <f t="shared" si="9"/>
        <v>0</v>
      </c>
      <c r="N38" s="54">
        <f t="shared" si="9"/>
        <v>0</v>
      </c>
      <c r="O38" s="54">
        <f t="shared" si="9"/>
        <v>0</v>
      </c>
      <c r="P38" s="54">
        <f t="shared" si="9"/>
        <v>0</v>
      </c>
      <c r="Q38" s="55">
        <f t="shared" si="9"/>
        <v>0</v>
      </c>
      <c r="R38" s="56">
        <f t="shared" si="9"/>
        <v>0</v>
      </c>
      <c r="S38" s="6"/>
    </row>
    <row r="39" spans="2:19">
      <c r="B39" s="5"/>
      <c r="C39" s="22" t="s">
        <v>70</v>
      </c>
      <c r="D39" s="29"/>
      <c r="E39" s="29"/>
      <c r="F39" s="29"/>
      <c r="G39" s="60">
        <f>ROUND($K$164,0)*G35/SUM($G$35:$I$35)</f>
        <v>11552845.088114483</v>
      </c>
      <c r="H39" s="61">
        <f>ROUND($K$164,0)*H35/SUM($G$35:$I$35)</f>
        <v>2172772.6295102341</v>
      </c>
      <c r="I39" s="61">
        <f>ROUND($K$164,0)*I35/SUM($G$35:$I$35)</f>
        <v>14019424.282375284</v>
      </c>
      <c r="J39" s="61">
        <v>0</v>
      </c>
      <c r="K39" s="61">
        <v>0</v>
      </c>
      <c r="L39" s="61">
        <v>0</v>
      </c>
      <c r="M39" s="61">
        <v>0</v>
      </c>
      <c r="N39" s="61">
        <v>0</v>
      </c>
      <c r="O39" s="61">
        <v>0</v>
      </c>
      <c r="P39" s="61">
        <v>0</v>
      </c>
      <c r="Q39" s="59">
        <v>0</v>
      </c>
      <c r="R39" s="62">
        <v>0</v>
      </c>
      <c r="S39" s="6"/>
    </row>
    <row r="40" spans="2:19">
      <c r="B40" s="5"/>
      <c r="C40" s="22" t="s">
        <v>71</v>
      </c>
      <c r="D40" s="29"/>
      <c r="E40" s="29"/>
      <c r="F40" s="29"/>
      <c r="G40" s="53">
        <f t="shared" ref="G40:P40" si="10">G35-G39</f>
        <v>96180493.911885515</v>
      </c>
      <c r="H40" s="54">
        <f t="shared" si="10"/>
        <v>18088907.370489765</v>
      </c>
      <c r="I40" s="54">
        <f t="shared" si="10"/>
        <v>116715418.71762472</v>
      </c>
      <c r="J40" s="54">
        <f t="shared" si="10"/>
        <v>309000000</v>
      </c>
      <c r="K40" s="54">
        <f t="shared" si="10"/>
        <v>283000000</v>
      </c>
      <c r="L40" s="54">
        <f t="shared" si="10"/>
        <v>135000000</v>
      </c>
      <c r="M40" s="54">
        <f t="shared" si="10"/>
        <v>60000000</v>
      </c>
      <c r="N40" s="54">
        <f t="shared" si="10"/>
        <v>73000000</v>
      </c>
      <c r="O40" s="54">
        <f t="shared" si="10"/>
        <v>118000000</v>
      </c>
      <c r="P40" s="54">
        <f t="shared" si="10"/>
        <v>25000000</v>
      </c>
      <c r="Q40" s="55">
        <v>12000000</v>
      </c>
      <c r="R40" s="56">
        <v>18000000</v>
      </c>
      <c r="S40" s="6"/>
    </row>
    <row r="41" spans="2:19">
      <c r="B41" s="5"/>
      <c r="C41" s="58" t="s">
        <v>72</v>
      </c>
      <c r="D41" s="29"/>
      <c r="E41" s="29"/>
      <c r="F41" s="29"/>
      <c r="G41" s="42">
        <f>G40/SUM($G$40:$R$40)</f>
        <v>7.6093076744296273E-2</v>
      </c>
      <c r="H41" s="42">
        <f>H40/SUM($G$40:$R$40)</f>
        <v>1.4311016306738372E-2</v>
      </c>
      <c r="I41" s="42">
        <f>I40/SUM($G$40:$R$40)</f>
        <v>9.233925666735833E-2</v>
      </c>
      <c r="J41" s="42">
        <f>J40/SUM($G$40:$R$40)</f>
        <v>0.24446496121686018</v>
      </c>
      <c r="K41" s="42">
        <f t="shared" ref="K41:M41" si="11">K40/SUM($G$40:$R$40)</f>
        <v>0.22389509393000465</v>
      </c>
      <c r="L41" s="42">
        <f t="shared" si="11"/>
        <v>0.10680508014328843</v>
      </c>
      <c r="M41" s="42">
        <f t="shared" si="11"/>
        <v>4.7468924508128188E-2</v>
      </c>
      <c r="N41" s="42">
        <f>N40/SUM($G$40:$R$40)</f>
        <v>5.7753858151555967E-2</v>
      </c>
      <c r="O41" s="42">
        <f>O40/SUM($G$40:$R$40)</f>
        <v>9.3355551532652112E-2</v>
      </c>
      <c r="P41" s="42">
        <f>P40/SUM($G$40:$R$40)</f>
        <v>1.9778718545053413E-2</v>
      </c>
      <c r="Q41" s="44">
        <f t="shared" ref="Q41:R41" si="12">Q40/SUM($G$40:$R$40)</f>
        <v>9.4937849016256386E-3</v>
      </c>
      <c r="R41" s="45">
        <f t="shared" si="12"/>
        <v>1.4240677352438457E-2</v>
      </c>
      <c r="S41" s="6"/>
    </row>
    <row r="42" spans="2:19">
      <c r="B42" s="5"/>
      <c r="C42" s="58" t="s">
        <v>73</v>
      </c>
      <c r="D42" s="29"/>
      <c r="E42" s="29"/>
      <c r="F42" s="29"/>
      <c r="G42" s="42">
        <v>6.7498176798832313E-2</v>
      </c>
      <c r="H42" s="42">
        <v>1.269455185902448E-2</v>
      </c>
      <c r="I42" s="42">
        <v>8.1909310789871514E-2</v>
      </c>
      <c r="J42" s="42">
        <v>0.21685204330461216</v>
      </c>
      <c r="K42" s="42">
        <v>0.19860559305891665</v>
      </c>
      <c r="L42" s="42">
        <v>9.4741183968034437E-2</v>
      </c>
      <c r="M42" s="42">
        <v>4.2107192874681974E-2</v>
      </c>
      <c r="N42" s="42">
        <v>5.1230417997529733E-2</v>
      </c>
      <c r="O42" s="42">
        <v>8.2810812653541219E-2</v>
      </c>
      <c r="P42" s="42">
        <v>1.7544663697784155E-2</v>
      </c>
      <c r="Q42" s="44">
        <v>8.4214385749363952E-3</v>
      </c>
      <c r="R42" s="45">
        <v>1.2632157862404592E-2</v>
      </c>
      <c r="S42" s="6"/>
    </row>
    <row r="43" spans="2:19">
      <c r="B43" s="5"/>
      <c r="C43" s="63" t="s">
        <v>74</v>
      </c>
      <c r="D43" s="29"/>
      <c r="E43" s="29"/>
      <c r="F43" s="29"/>
      <c r="G43" s="41">
        <f>1-G42-H42-I42</f>
        <v>0.83789796055227173</v>
      </c>
      <c r="H43" s="41">
        <f>1-G42-H42-I42</f>
        <v>0.83789796055227173</v>
      </c>
      <c r="I43" s="41">
        <f>1-G42-H42-I42</f>
        <v>0.83789796055227173</v>
      </c>
      <c r="J43" s="41">
        <f>1-SUM($G$42:$M$42)</f>
        <v>0.28559194734602644</v>
      </c>
      <c r="K43" s="41">
        <f t="shared" ref="K43:M43" si="13">1-SUM($G$42:$M$42)</f>
        <v>0.28559194734602644</v>
      </c>
      <c r="L43" s="41">
        <f t="shared" si="13"/>
        <v>0.28559194734602644</v>
      </c>
      <c r="M43" s="41">
        <f t="shared" si="13"/>
        <v>0.28559194734602644</v>
      </c>
      <c r="N43" s="41">
        <f>1-SUM($G$42:$O$42)</f>
        <v>0.15155071669495557</v>
      </c>
      <c r="O43" s="41">
        <f>1-SUM($G$42:$O$42)</f>
        <v>0.15155071669495557</v>
      </c>
      <c r="P43" s="42">
        <f>1-SUM($G$42:$R$42)</f>
        <v>0.11295245655983044</v>
      </c>
      <c r="Q43" s="44">
        <f t="shared" ref="Q43:R43" si="14">1-SUM($G$42:$R$42)</f>
        <v>0.11295245655983044</v>
      </c>
      <c r="R43" s="45">
        <f t="shared" si="14"/>
        <v>0.11295245655983044</v>
      </c>
      <c r="S43" s="6"/>
    </row>
    <row r="44" spans="2:19">
      <c r="B44" s="5"/>
      <c r="C44" s="22" t="s">
        <v>75</v>
      </c>
      <c r="D44" s="29"/>
      <c r="E44" s="29"/>
      <c r="F44" s="29"/>
      <c r="G44" s="64">
        <v>52366</v>
      </c>
      <c r="H44" s="64">
        <v>52366</v>
      </c>
      <c r="I44" s="64">
        <v>52366</v>
      </c>
      <c r="J44" s="64">
        <v>52366</v>
      </c>
      <c r="K44" s="64">
        <v>52366</v>
      </c>
      <c r="L44" s="64">
        <v>52366</v>
      </c>
      <c r="M44" s="64">
        <v>52366</v>
      </c>
      <c r="N44" s="64">
        <v>52366</v>
      </c>
      <c r="O44" s="64">
        <v>52366</v>
      </c>
      <c r="P44" s="64">
        <v>52366</v>
      </c>
      <c r="Q44" s="65">
        <v>52366</v>
      </c>
      <c r="R44" s="66">
        <v>52366</v>
      </c>
      <c r="S44" s="6"/>
    </row>
    <row r="45" spans="2:19">
      <c r="B45" s="5"/>
      <c r="C45" s="32" t="s">
        <v>76</v>
      </c>
      <c r="D45" s="33"/>
      <c r="E45" s="33"/>
      <c r="F45" s="33"/>
      <c r="G45" s="64">
        <v>45427</v>
      </c>
      <c r="H45" s="64">
        <v>45427</v>
      </c>
      <c r="I45" s="64">
        <v>45427</v>
      </c>
      <c r="J45" s="64">
        <v>46157</v>
      </c>
      <c r="K45" s="64">
        <v>46157</v>
      </c>
      <c r="L45" s="64">
        <v>46157</v>
      </c>
      <c r="M45" s="64">
        <v>46157</v>
      </c>
      <c r="N45" s="64">
        <v>46157</v>
      </c>
      <c r="O45" s="64">
        <v>46157</v>
      </c>
      <c r="P45" s="64">
        <v>46157</v>
      </c>
      <c r="Q45" s="65">
        <v>46157</v>
      </c>
      <c r="R45" s="66">
        <v>46157</v>
      </c>
      <c r="S45" s="6"/>
    </row>
    <row r="46" spans="2:19">
      <c r="B46" s="5"/>
      <c r="C46" s="32" t="s">
        <v>77</v>
      </c>
      <c r="D46" s="33"/>
      <c r="E46" s="33"/>
      <c r="F46" s="33"/>
      <c r="G46" s="42">
        <v>8.0829999999999999E-2</v>
      </c>
      <c r="H46" s="42">
        <f>G46</f>
        <v>8.0829999999999999E-2</v>
      </c>
      <c r="I46" s="42">
        <f t="shared" ref="I46:R46" si="15">H46</f>
        <v>8.0829999999999999E-2</v>
      </c>
      <c r="J46" s="42">
        <f t="shared" si="15"/>
        <v>8.0829999999999999E-2</v>
      </c>
      <c r="K46" s="42">
        <f t="shared" si="15"/>
        <v>8.0829999999999999E-2</v>
      </c>
      <c r="L46" s="42">
        <f t="shared" si="15"/>
        <v>8.0829999999999999E-2</v>
      </c>
      <c r="M46" s="52">
        <f t="shared" si="15"/>
        <v>8.0829999999999999E-2</v>
      </c>
      <c r="N46" s="42">
        <f t="shared" si="15"/>
        <v>8.0829999999999999E-2</v>
      </c>
      <c r="O46" s="42">
        <f t="shared" si="15"/>
        <v>8.0829999999999999E-2</v>
      </c>
      <c r="P46" s="42">
        <f t="shared" si="15"/>
        <v>8.0829999999999999E-2</v>
      </c>
      <c r="Q46" s="44">
        <f t="shared" si="15"/>
        <v>8.0829999999999999E-2</v>
      </c>
      <c r="R46" s="45">
        <f t="shared" si="15"/>
        <v>8.0829999999999999E-2</v>
      </c>
      <c r="S46" s="6"/>
    </row>
    <row r="47" spans="2:19">
      <c r="B47" s="5"/>
      <c r="C47" s="32" t="s">
        <v>78</v>
      </c>
      <c r="D47" s="33"/>
      <c r="E47" s="33"/>
      <c r="F47" s="33"/>
      <c r="G47" s="42">
        <f t="shared" ref="G47" si="16">G46+G27</f>
        <v>9.6329999999999999E-2</v>
      </c>
      <c r="H47" s="42">
        <f>H46+H27</f>
        <v>9.783E-2</v>
      </c>
      <c r="I47" s="42">
        <f t="shared" ref="I47:L47" si="17">I46+I27</f>
        <v>9.5829999999999999E-2</v>
      </c>
      <c r="J47" s="42">
        <f t="shared" si="17"/>
        <v>0.10283</v>
      </c>
      <c r="K47" s="42">
        <f t="shared" si="17"/>
        <v>0.10433000000000001</v>
      </c>
      <c r="L47" s="42">
        <f t="shared" si="17"/>
        <v>0.10583000000000001</v>
      </c>
      <c r="M47" s="52">
        <f>M30</f>
        <v>0.10235</v>
      </c>
      <c r="N47" s="42">
        <f t="shared" ref="N47:R47" si="18">N46+N27</f>
        <v>0.10583000000000001</v>
      </c>
      <c r="O47" s="42">
        <f t="shared" si="18"/>
        <v>0.10822999999999999</v>
      </c>
      <c r="P47" s="42">
        <f t="shared" si="18"/>
        <v>0.11882999999999999</v>
      </c>
      <c r="Q47" s="44">
        <f t="shared" si="18"/>
        <v>0.12082999999999999</v>
      </c>
      <c r="R47" s="45">
        <f t="shared" si="18"/>
        <v>0.11782999999999999</v>
      </c>
      <c r="S47" s="6"/>
    </row>
    <row r="48" spans="2:19">
      <c r="B48" s="5"/>
      <c r="C48" s="22" t="s">
        <v>79</v>
      </c>
      <c r="D48" s="29"/>
      <c r="E48" s="29"/>
      <c r="F48" s="29"/>
      <c r="G48" s="67" t="s">
        <v>80</v>
      </c>
      <c r="H48" s="67" t="s">
        <v>80</v>
      </c>
      <c r="I48" s="67" t="s">
        <v>80</v>
      </c>
      <c r="J48" s="67" t="s">
        <v>81</v>
      </c>
      <c r="K48" s="67" t="s">
        <v>81</v>
      </c>
      <c r="L48" s="67" t="s">
        <v>81</v>
      </c>
      <c r="M48" s="67" t="s">
        <v>81</v>
      </c>
      <c r="N48" s="67" t="s">
        <v>351</v>
      </c>
      <c r="O48" s="67" t="s">
        <v>351</v>
      </c>
      <c r="P48" s="67" t="s">
        <v>82</v>
      </c>
      <c r="Q48" s="68" t="s">
        <v>82</v>
      </c>
      <c r="R48" s="69" t="s">
        <v>82</v>
      </c>
      <c r="S48" s="6"/>
    </row>
    <row r="49" spans="2:28" ht="15.75" thickBot="1">
      <c r="B49" s="5"/>
      <c r="C49" s="70" t="s">
        <v>83</v>
      </c>
      <c r="D49" s="71"/>
      <c r="E49" s="71"/>
      <c r="F49" s="71"/>
      <c r="G49" s="72" t="str">
        <f t="shared" ref="G49:R49" si="19">G48</f>
        <v>AAA(za)(sf)</v>
      </c>
      <c r="H49" s="72" t="str">
        <f t="shared" si="19"/>
        <v>AAA(za)(sf)</v>
      </c>
      <c r="I49" s="72" t="str">
        <f>I48</f>
        <v>AAA(za)(sf)</v>
      </c>
      <c r="J49" s="72" t="str">
        <f t="shared" si="19"/>
        <v>AA+(za)(sf)</v>
      </c>
      <c r="K49" s="72" t="str">
        <f t="shared" si="19"/>
        <v>AA+(za)(sf)</v>
      </c>
      <c r="L49" s="72" t="str">
        <f t="shared" si="19"/>
        <v>AA+(za)(sf)</v>
      </c>
      <c r="M49" s="72" t="str">
        <f t="shared" si="19"/>
        <v>AA+(za)(sf)</v>
      </c>
      <c r="N49" s="72" t="s">
        <v>84</v>
      </c>
      <c r="O49" s="72" t="s">
        <v>84</v>
      </c>
      <c r="P49" s="72" t="str">
        <f t="shared" si="19"/>
        <v>BBB(za)(sf)</v>
      </c>
      <c r="Q49" s="73" t="s">
        <v>82</v>
      </c>
      <c r="R49" s="74" t="str">
        <f t="shared" si="19"/>
        <v>BBB(za)(sf)</v>
      </c>
      <c r="S49" s="6"/>
    </row>
    <row r="50" spans="2:28" ht="15.75" thickBot="1">
      <c r="B50" s="5"/>
      <c r="C50" s="7"/>
      <c r="D50" s="7"/>
      <c r="E50" s="7"/>
      <c r="F50" s="7"/>
      <c r="G50" s="7"/>
      <c r="H50" s="7"/>
      <c r="I50" s="7"/>
      <c r="J50" s="7"/>
      <c r="K50" s="7"/>
      <c r="L50" s="7"/>
      <c r="M50" s="7"/>
      <c r="N50" s="7"/>
      <c r="O50" s="7"/>
      <c r="P50" s="7"/>
      <c r="Q50" s="7"/>
      <c r="R50" s="7"/>
      <c r="S50" s="6"/>
      <c r="U50" s="26"/>
    </row>
    <row r="51" spans="2:28">
      <c r="B51" s="5"/>
      <c r="C51" s="260" t="s">
        <v>85</v>
      </c>
      <c r="D51" s="261"/>
      <c r="E51" s="261"/>
      <c r="F51" s="261"/>
      <c r="G51" s="261"/>
      <c r="H51" s="261"/>
      <c r="I51" s="261"/>
      <c r="J51" s="261"/>
      <c r="K51" s="261"/>
      <c r="L51" s="261"/>
      <c r="M51" s="261"/>
      <c r="N51" s="261"/>
      <c r="O51" s="261"/>
      <c r="P51" s="261"/>
      <c r="Q51" s="261"/>
      <c r="R51" s="262"/>
      <c r="S51" s="6"/>
    </row>
    <row r="52" spans="2:28">
      <c r="B52" s="5"/>
      <c r="C52" s="348" t="s">
        <v>86</v>
      </c>
      <c r="D52" s="338"/>
      <c r="E52" s="338"/>
      <c r="F52" s="338"/>
      <c r="G52" s="338"/>
      <c r="H52" s="338"/>
      <c r="I52" s="338"/>
      <c r="J52" s="338"/>
      <c r="K52" s="338"/>
      <c r="L52" s="338"/>
      <c r="M52" s="338"/>
      <c r="N52" s="338"/>
      <c r="O52" s="338"/>
      <c r="P52" s="338"/>
      <c r="Q52" s="338"/>
      <c r="R52" s="339"/>
      <c r="S52" s="6"/>
      <c r="Y52" s="75"/>
    </row>
    <row r="53" spans="2:28">
      <c r="B53" s="5"/>
      <c r="C53" s="76" t="s">
        <v>87</v>
      </c>
      <c r="D53" s="77"/>
      <c r="E53" s="77"/>
      <c r="F53" s="77"/>
      <c r="G53" s="77"/>
      <c r="H53" s="77"/>
      <c r="I53" s="77"/>
      <c r="J53" s="77"/>
      <c r="K53" s="77"/>
      <c r="L53" s="77"/>
      <c r="M53" s="77"/>
      <c r="N53" s="77"/>
      <c r="O53" s="78"/>
      <c r="P53" s="357">
        <v>116090523.63231999</v>
      </c>
      <c r="Q53" s="355"/>
      <c r="R53" s="356"/>
      <c r="S53" s="6"/>
      <c r="U53" s="75"/>
      <c r="V53" s="79"/>
      <c r="X53" s="75"/>
      <c r="Y53" s="75"/>
      <c r="Z53" s="75"/>
      <c r="AA53" s="75"/>
      <c r="AB53" s="79"/>
    </row>
    <row r="54" spans="2:28">
      <c r="B54" s="5"/>
      <c r="C54" s="22" t="s">
        <v>88</v>
      </c>
      <c r="D54" s="29"/>
      <c r="E54" s="29"/>
      <c r="F54" s="29"/>
      <c r="G54" s="29"/>
      <c r="H54" s="29"/>
      <c r="I54" s="29"/>
      <c r="J54" s="29"/>
      <c r="K54" s="29"/>
      <c r="L54" s="29"/>
      <c r="M54" s="29"/>
      <c r="N54" s="29"/>
      <c r="O54" s="80"/>
      <c r="P54" s="357">
        <v>80371117.492320001</v>
      </c>
      <c r="Q54" s="355"/>
      <c r="R54" s="356"/>
      <c r="S54" s="6"/>
      <c r="V54" s="26"/>
    </row>
    <row r="55" spans="2:28">
      <c r="B55" s="5"/>
      <c r="C55" s="76" t="s">
        <v>89</v>
      </c>
      <c r="D55" s="77"/>
      <c r="E55" s="77"/>
      <c r="F55" s="77"/>
      <c r="G55" s="77"/>
      <c r="H55" s="77"/>
      <c r="I55" s="77"/>
      <c r="J55" s="77"/>
      <c r="K55" s="77"/>
      <c r="L55" s="77"/>
      <c r="M55" s="77"/>
      <c r="N55" s="77"/>
      <c r="O55" s="77"/>
      <c r="P55" s="349">
        <f>SUM(P56:Q58)</f>
        <v>35719406.139999986</v>
      </c>
      <c r="Q55" s="346"/>
      <c r="R55" s="347"/>
      <c r="S55" s="6"/>
      <c r="V55" s="26"/>
    </row>
    <row r="56" spans="2:28">
      <c r="B56" s="5"/>
      <c r="C56" s="63" t="s">
        <v>90</v>
      </c>
      <c r="D56" s="33"/>
      <c r="E56" s="33"/>
      <c r="F56" s="33"/>
      <c r="G56" s="33"/>
      <c r="H56" s="33"/>
      <c r="I56" s="33"/>
      <c r="J56" s="33"/>
      <c r="K56" s="33"/>
      <c r="L56" s="33"/>
      <c r="M56" s="33"/>
      <c r="N56" s="33"/>
      <c r="O56" s="33"/>
      <c r="P56" s="285">
        <f>P53-P54-Q58</f>
        <v>2661784.902999986</v>
      </c>
      <c r="Q56" s="286"/>
      <c r="R56" s="358"/>
      <c r="S56" s="6"/>
    </row>
    <row r="57" spans="2:28">
      <c r="B57" s="5"/>
      <c r="C57" s="63" t="s">
        <v>91</v>
      </c>
      <c r="D57" s="33"/>
      <c r="E57" s="33"/>
      <c r="F57" s="33"/>
      <c r="G57" s="33"/>
      <c r="H57" s="33"/>
      <c r="I57" s="33"/>
      <c r="J57" s="33"/>
      <c r="K57" s="33"/>
      <c r="L57" s="33"/>
      <c r="M57" s="33"/>
      <c r="N57" s="33"/>
      <c r="O57" s="33"/>
      <c r="P57" s="83"/>
      <c r="Q57" s="84">
        <v>0</v>
      </c>
      <c r="R57" s="6"/>
      <c r="S57" s="6"/>
    </row>
    <row r="58" spans="2:28">
      <c r="B58" s="5"/>
      <c r="C58" s="63" t="s">
        <v>92</v>
      </c>
      <c r="D58" s="33"/>
      <c r="E58" s="33"/>
      <c r="F58" s="33"/>
      <c r="G58" s="33"/>
      <c r="H58" s="33"/>
      <c r="I58" s="33"/>
      <c r="J58" s="33"/>
      <c r="K58" s="33"/>
      <c r="L58" s="33"/>
      <c r="M58" s="33"/>
      <c r="N58" s="33"/>
      <c r="O58" s="33"/>
      <c r="P58" s="85"/>
      <c r="Q58" s="86">
        <v>33057621.237</v>
      </c>
      <c r="R58" s="6"/>
      <c r="S58" s="6"/>
      <c r="U58" s="87"/>
    </row>
    <row r="59" spans="2:28">
      <c r="B59" s="5"/>
      <c r="C59" s="348" t="s">
        <v>93</v>
      </c>
      <c r="D59" s="338"/>
      <c r="E59" s="338"/>
      <c r="F59" s="338"/>
      <c r="G59" s="338"/>
      <c r="H59" s="338"/>
      <c r="I59" s="338"/>
      <c r="J59" s="338"/>
      <c r="K59" s="338"/>
      <c r="L59" s="338"/>
      <c r="M59" s="338"/>
      <c r="N59" s="338"/>
      <c r="O59" s="338"/>
      <c r="P59" s="338"/>
      <c r="Q59" s="338"/>
      <c r="R59" s="339"/>
      <c r="S59" s="6"/>
    </row>
    <row r="60" spans="2:28">
      <c r="B60" s="5"/>
      <c r="C60" s="76" t="s">
        <v>94</v>
      </c>
      <c r="D60" s="77"/>
      <c r="E60" s="77"/>
      <c r="F60" s="77"/>
      <c r="G60" s="77"/>
      <c r="H60" s="77"/>
      <c r="I60" s="77"/>
      <c r="J60" s="77"/>
      <c r="K60" s="77"/>
      <c r="L60" s="77"/>
      <c r="M60" s="77"/>
      <c r="N60" s="77"/>
      <c r="O60" s="77"/>
      <c r="P60" s="349">
        <f>SUM(K61:Q62)</f>
        <v>0</v>
      </c>
      <c r="Q60" s="346"/>
      <c r="R60" s="347"/>
      <c r="S60" s="6"/>
    </row>
    <row r="61" spans="2:28">
      <c r="B61" s="5"/>
      <c r="C61" s="63" t="s">
        <v>95</v>
      </c>
      <c r="D61" s="33"/>
      <c r="E61" s="33"/>
      <c r="F61" s="33"/>
      <c r="G61" s="33"/>
      <c r="H61" s="33"/>
      <c r="I61" s="33"/>
      <c r="J61" s="33"/>
      <c r="K61" s="33"/>
      <c r="L61" s="33"/>
      <c r="M61" s="33"/>
      <c r="N61" s="33"/>
      <c r="O61" s="33"/>
      <c r="P61" s="83"/>
      <c r="Q61" s="84">
        <v>0</v>
      </c>
      <c r="R61" s="88"/>
      <c r="S61" s="6"/>
    </row>
    <row r="62" spans="2:28">
      <c r="B62" s="5"/>
      <c r="C62" s="63" t="s">
        <v>96</v>
      </c>
      <c r="D62" s="33"/>
      <c r="E62" s="33"/>
      <c r="F62" s="33"/>
      <c r="G62" s="33"/>
      <c r="H62" s="33"/>
      <c r="I62" s="33"/>
      <c r="J62" s="33"/>
      <c r="K62" s="33"/>
      <c r="L62" s="33"/>
      <c r="M62" s="33"/>
      <c r="N62" s="33"/>
      <c r="O62" s="33"/>
      <c r="P62" s="85"/>
      <c r="Q62" s="86">
        <v>0</v>
      </c>
      <c r="R62" s="88"/>
      <c r="S62" s="6"/>
    </row>
    <row r="63" spans="2:28">
      <c r="B63" s="5"/>
      <c r="C63" s="76" t="s">
        <v>97</v>
      </c>
      <c r="D63" s="77"/>
      <c r="E63" s="77"/>
      <c r="F63" s="77"/>
      <c r="G63" s="77"/>
      <c r="H63" s="77"/>
      <c r="I63" s="77"/>
      <c r="J63" s="77"/>
      <c r="K63" s="77"/>
      <c r="L63" s="77"/>
      <c r="M63" s="77"/>
      <c r="N63" s="77"/>
      <c r="O63" s="78"/>
      <c r="P63" s="352">
        <f>SUM(J64:Q65)</f>
        <v>1506254.3199999998</v>
      </c>
      <c r="Q63" s="352"/>
      <c r="R63" s="353"/>
      <c r="S63" s="6"/>
      <c r="V63" s="26"/>
    </row>
    <row r="64" spans="2:28">
      <c r="B64" s="5"/>
      <c r="C64" s="63" t="s">
        <v>98</v>
      </c>
      <c r="D64" s="33"/>
      <c r="E64" s="33"/>
      <c r="F64" s="33"/>
      <c r="G64" s="33"/>
      <c r="H64" s="33"/>
      <c r="I64" s="33"/>
      <c r="J64" s="33"/>
      <c r="K64" s="33"/>
      <c r="L64" s="33"/>
      <c r="M64" s="33"/>
      <c r="N64" s="33"/>
      <c r="O64" s="89"/>
      <c r="P64" s="83"/>
      <c r="Q64" s="84">
        <v>11464.14</v>
      </c>
      <c r="R64" s="88"/>
      <c r="S64" s="6"/>
    </row>
    <row r="65" spans="2:22">
      <c r="B65" s="5"/>
      <c r="C65" s="90" t="s">
        <v>99</v>
      </c>
      <c r="D65" s="91"/>
      <c r="E65" s="91"/>
      <c r="F65" s="91"/>
      <c r="G65" s="91"/>
      <c r="H65" s="91"/>
      <c r="I65" s="91"/>
      <c r="J65" s="91"/>
      <c r="K65" s="91"/>
      <c r="L65" s="91"/>
      <c r="M65" s="91"/>
      <c r="N65" s="91"/>
      <c r="O65" s="92"/>
      <c r="P65" s="85"/>
      <c r="Q65" s="84">
        <v>1494790.18</v>
      </c>
      <c r="R65" s="88"/>
      <c r="S65" s="6"/>
    </row>
    <row r="66" spans="2:22">
      <c r="B66" s="5"/>
      <c r="C66" s="76" t="s">
        <v>100</v>
      </c>
      <c r="D66" s="77"/>
      <c r="E66" s="77"/>
      <c r="F66" s="77"/>
      <c r="G66" s="77"/>
      <c r="H66" s="77"/>
      <c r="I66" s="77"/>
      <c r="J66" s="77"/>
      <c r="K66" s="77"/>
      <c r="L66" s="77"/>
      <c r="M66" s="77"/>
      <c r="N66" s="77"/>
      <c r="O66" s="78"/>
      <c r="P66" s="354">
        <f>SUM(Q67:Q69,Q72,Q75:Q80)</f>
        <v>131686694.5091781</v>
      </c>
      <c r="Q66" s="352"/>
      <c r="R66" s="353"/>
      <c r="S66" s="6"/>
      <c r="V66" s="26"/>
    </row>
    <row r="67" spans="2:22">
      <c r="B67" s="5"/>
      <c r="C67" s="63" t="s">
        <v>101</v>
      </c>
      <c r="D67" s="33"/>
      <c r="E67" s="33"/>
      <c r="F67" s="33"/>
      <c r="G67" s="33"/>
      <c r="H67" s="33"/>
      <c r="I67" s="33"/>
      <c r="J67" s="33"/>
      <c r="K67" s="33"/>
      <c r="L67" s="33"/>
      <c r="M67" s="33"/>
      <c r="N67" s="33"/>
      <c r="O67" s="89"/>
      <c r="P67" s="83"/>
      <c r="Q67" s="84">
        <f>'Servicer Report'!J39</f>
        <v>12669331.529999999</v>
      </c>
      <c r="R67" s="93"/>
      <c r="S67" s="6"/>
    </row>
    <row r="68" spans="2:22">
      <c r="B68" s="5"/>
      <c r="C68" s="63" t="s">
        <v>102</v>
      </c>
      <c r="D68" s="33"/>
      <c r="E68" s="33"/>
      <c r="F68" s="33"/>
      <c r="G68" s="33"/>
      <c r="H68" s="33"/>
      <c r="I68" s="33"/>
      <c r="J68" s="33"/>
      <c r="K68" s="33"/>
      <c r="L68" s="33"/>
      <c r="M68" s="33"/>
      <c r="N68" s="33"/>
      <c r="O68" s="89"/>
      <c r="P68" s="83"/>
      <c r="Q68" s="84">
        <f>'Servicer Report'!J42</f>
        <v>14074603.92</v>
      </c>
      <c r="R68" s="93"/>
      <c r="S68" s="6"/>
    </row>
    <row r="69" spans="2:22">
      <c r="B69" s="5"/>
      <c r="C69" s="63" t="s">
        <v>103</v>
      </c>
      <c r="D69" s="33"/>
      <c r="E69" s="33"/>
      <c r="F69" s="33"/>
      <c r="G69" s="33"/>
      <c r="H69" s="33"/>
      <c r="I69" s="33"/>
      <c r="J69" s="33"/>
      <c r="K69" s="33"/>
      <c r="L69" s="33"/>
      <c r="M69" s="33"/>
      <c r="N69" s="33"/>
      <c r="O69" s="89"/>
      <c r="P69" s="83"/>
      <c r="Q69" s="84">
        <f>SUM(P70:P71)</f>
        <v>0</v>
      </c>
      <c r="R69" s="93"/>
      <c r="S69" s="6"/>
    </row>
    <row r="70" spans="2:22">
      <c r="B70" s="5"/>
      <c r="C70" s="94" t="s">
        <v>104</v>
      </c>
      <c r="D70" s="33"/>
      <c r="E70" s="33"/>
      <c r="F70" s="33"/>
      <c r="G70" s="33"/>
      <c r="H70" s="33"/>
      <c r="I70" s="33"/>
      <c r="J70" s="33"/>
      <c r="K70" s="33"/>
      <c r="L70" s="33"/>
      <c r="M70" s="33"/>
      <c r="N70" s="33"/>
      <c r="O70" s="89"/>
      <c r="P70" s="83">
        <v>0</v>
      </c>
      <c r="Q70" s="95"/>
      <c r="R70" s="93"/>
      <c r="S70" s="6"/>
    </row>
    <row r="71" spans="2:22">
      <c r="B71" s="5"/>
      <c r="C71" s="94" t="s">
        <v>105</v>
      </c>
      <c r="D71" s="33"/>
      <c r="E71" s="33"/>
      <c r="F71" s="33"/>
      <c r="G71" s="33"/>
      <c r="H71" s="33"/>
      <c r="I71" s="33"/>
      <c r="J71" s="33"/>
      <c r="K71" s="33"/>
      <c r="L71" s="33"/>
      <c r="M71" s="33"/>
      <c r="N71" s="33"/>
      <c r="O71" s="89"/>
      <c r="P71" s="83">
        <v>0</v>
      </c>
      <c r="Q71" s="95"/>
      <c r="R71" s="93"/>
      <c r="S71" s="6"/>
    </row>
    <row r="72" spans="2:22">
      <c r="B72" s="5"/>
      <c r="C72" s="63" t="s">
        <v>106</v>
      </c>
      <c r="D72" s="33"/>
      <c r="E72" s="33"/>
      <c r="F72" s="33"/>
      <c r="G72" s="33"/>
      <c r="H72" s="33"/>
      <c r="I72" s="33"/>
      <c r="J72" s="33"/>
      <c r="K72" s="33"/>
      <c r="L72" s="33"/>
      <c r="M72" s="33"/>
      <c r="N72" s="33"/>
      <c r="O72" s="89"/>
      <c r="P72" s="83"/>
      <c r="Q72" s="84">
        <f>SUM(P73:P74)</f>
        <v>0</v>
      </c>
      <c r="R72" s="93"/>
      <c r="S72" s="6"/>
    </row>
    <row r="73" spans="2:22">
      <c r="B73" s="5"/>
      <c r="C73" s="94" t="s">
        <v>104</v>
      </c>
      <c r="D73" s="33"/>
      <c r="E73" s="33"/>
      <c r="F73" s="33"/>
      <c r="G73" s="33"/>
      <c r="H73" s="33"/>
      <c r="I73" s="33"/>
      <c r="J73" s="33"/>
      <c r="K73" s="33"/>
      <c r="L73" s="33"/>
      <c r="M73" s="33"/>
      <c r="N73" s="33"/>
      <c r="O73" s="89"/>
      <c r="P73" s="83">
        <v>0</v>
      </c>
      <c r="Q73" s="95"/>
      <c r="R73" s="93"/>
      <c r="S73" s="6"/>
    </row>
    <row r="74" spans="2:22">
      <c r="B74" s="5"/>
      <c r="C74" s="94" t="s">
        <v>105</v>
      </c>
      <c r="D74" s="33"/>
      <c r="E74" s="33"/>
      <c r="F74" s="33"/>
      <c r="G74" s="33"/>
      <c r="H74" s="33"/>
      <c r="I74" s="33"/>
      <c r="J74" s="33"/>
      <c r="K74" s="33"/>
      <c r="L74" s="33"/>
      <c r="M74" s="33"/>
      <c r="N74" s="33"/>
      <c r="O74" s="89"/>
      <c r="P74" s="83">
        <v>0</v>
      </c>
      <c r="Q74" s="95"/>
      <c r="R74" s="93"/>
      <c r="S74" s="6"/>
    </row>
    <row r="75" spans="2:22">
      <c r="B75" s="5"/>
      <c r="C75" s="63" t="s">
        <v>107</v>
      </c>
      <c r="D75" s="33"/>
      <c r="E75" s="33"/>
      <c r="F75" s="33"/>
      <c r="G75" s="33"/>
      <c r="H75" s="33"/>
      <c r="I75" s="33"/>
      <c r="J75" s="33"/>
      <c r="K75" s="33"/>
      <c r="L75" s="33"/>
      <c r="M75" s="33"/>
      <c r="N75" s="33"/>
      <c r="O75" s="89"/>
      <c r="P75" s="83"/>
      <c r="Q75" s="84">
        <f>SUM(P76:P77)</f>
        <v>60333861</v>
      </c>
      <c r="R75" s="93"/>
      <c r="S75" s="6"/>
    </row>
    <row r="76" spans="2:22">
      <c r="B76" s="5"/>
      <c r="C76" s="94" t="s">
        <v>108</v>
      </c>
      <c r="D76" s="33"/>
      <c r="E76" s="33"/>
      <c r="F76" s="33"/>
      <c r="G76" s="33"/>
      <c r="H76" s="33"/>
      <c r="I76" s="33"/>
      <c r="J76" s="33"/>
      <c r="K76" s="33"/>
      <c r="L76" s="33"/>
      <c r="M76" s="33"/>
      <c r="N76" s="33"/>
      <c r="O76" s="89"/>
      <c r="P76" s="83">
        <f>'Servicer Report'!J46</f>
        <v>0</v>
      </c>
      <c r="Q76" s="95"/>
      <c r="R76" s="93"/>
      <c r="S76" s="6"/>
    </row>
    <row r="77" spans="2:22">
      <c r="B77" s="5"/>
      <c r="C77" s="94" t="s">
        <v>109</v>
      </c>
      <c r="D77" s="33"/>
      <c r="E77" s="33"/>
      <c r="F77" s="33"/>
      <c r="G77" s="33"/>
      <c r="H77" s="33"/>
      <c r="I77" s="33"/>
      <c r="J77" s="33"/>
      <c r="K77" s="33"/>
      <c r="L77" s="33"/>
      <c r="M77" s="33"/>
      <c r="N77" s="33"/>
      <c r="O77" s="89"/>
      <c r="P77" s="83">
        <f>'Servicer Report'!J47</f>
        <v>60333861</v>
      </c>
      <c r="Q77" s="95"/>
      <c r="R77" s="93"/>
      <c r="S77" s="6"/>
    </row>
    <row r="78" spans="2:22">
      <c r="B78" s="5"/>
      <c r="C78" s="63" t="s">
        <v>110</v>
      </c>
      <c r="D78" s="33"/>
      <c r="E78" s="33"/>
      <c r="F78" s="33"/>
      <c r="G78" s="33"/>
      <c r="H78" s="33"/>
      <c r="I78" s="33"/>
      <c r="J78" s="33"/>
      <c r="K78" s="33"/>
      <c r="L78" s="33"/>
      <c r="M78" s="33"/>
      <c r="N78" s="33"/>
      <c r="O78" s="89"/>
      <c r="P78" s="83"/>
      <c r="Q78" s="84">
        <f>'Servicer Report'!J40</f>
        <v>43412724.470000014</v>
      </c>
      <c r="R78" s="93"/>
      <c r="S78" s="6"/>
    </row>
    <row r="79" spans="2:22">
      <c r="B79" s="5"/>
      <c r="C79" s="63" t="s">
        <v>111</v>
      </c>
      <c r="D79" s="33"/>
      <c r="E79" s="33"/>
      <c r="F79" s="33"/>
      <c r="G79" s="33"/>
      <c r="H79" s="33"/>
      <c r="I79" s="33"/>
      <c r="J79" s="33"/>
      <c r="K79" s="33"/>
      <c r="L79" s="33"/>
      <c r="M79" s="33"/>
      <c r="N79" s="33"/>
      <c r="O79" s="89"/>
      <c r="P79" s="83">
        <f>'Servicer Report'!J41</f>
        <v>0</v>
      </c>
      <c r="Q79" s="84"/>
      <c r="R79" s="93"/>
      <c r="S79" s="6"/>
    </row>
    <row r="80" spans="2:22">
      <c r="B80" s="5"/>
      <c r="C80" s="90" t="s">
        <v>112</v>
      </c>
      <c r="D80" s="91"/>
      <c r="E80" s="91"/>
      <c r="F80" s="91"/>
      <c r="G80" s="91"/>
      <c r="H80" s="91"/>
      <c r="I80" s="91"/>
      <c r="J80" s="91"/>
      <c r="K80" s="91"/>
      <c r="L80" s="91"/>
      <c r="M80" s="91"/>
      <c r="N80" s="91"/>
      <c r="O80" s="92"/>
      <c r="P80" s="85"/>
      <c r="Q80" s="96">
        <v>1196173.5891780828</v>
      </c>
      <c r="R80" s="97"/>
      <c r="S80" s="6"/>
    </row>
    <row r="81" spans="2:24">
      <c r="B81" s="5"/>
      <c r="C81" s="98" t="s">
        <v>113</v>
      </c>
      <c r="D81" s="77"/>
      <c r="E81" s="77"/>
      <c r="F81" s="77"/>
      <c r="G81" s="77"/>
      <c r="H81" s="77"/>
      <c r="I81" s="77"/>
      <c r="J81" s="77"/>
      <c r="K81" s="77"/>
      <c r="L81" s="77"/>
      <c r="M81" s="77"/>
      <c r="N81" s="77"/>
      <c r="O81" s="78"/>
      <c r="P81" s="355">
        <v>971758.84000000008</v>
      </c>
      <c r="Q81" s="355"/>
      <c r="R81" s="356"/>
      <c r="S81" s="6"/>
    </row>
    <row r="82" spans="2:24">
      <c r="B82" s="5"/>
      <c r="C82" s="348" t="s">
        <v>114</v>
      </c>
      <c r="D82" s="338"/>
      <c r="E82" s="338"/>
      <c r="F82" s="338"/>
      <c r="G82" s="338"/>
      <c r="H82" s="338"/>
      <c r="I82" s="338"/>
      <c r="J82" s="338"/>
      <c r="K82" s="338"/>
      <c r="L82" s="338"/>
      <c r="M82" s="338"/>
      <c r="N82" s="338"/>
      <c r="O82" s="338"/>
      <c r="P82" s="338"/>
      <c r="Q82" s="338"/>
      <c r="R82" s="339"/>
      <c r="S82" s="6"/>
    </row>
    <row r="83" spans="2:24">
      <c r="B83" s="5"/>
      <c r="C83" s="98" t="s">
        <v>115</v>
      </c>
      <c r="D83" s="77"/>
      <c r="E83" s="77"/>
      <c r="F83" s="77"/>
      <c r="G83" s="77"/>
      <c r="H83" s="77"/>
      <c r="I83" s="77"/>
      <c r="J83" s="77"/>
      <c r="K83" s="77"/>
      <c r="L83" s="77"/>
      <c r="M83" s="77"/>
      <c r="N83" s="77"/>
      <c r="O83" s="77"/>
      <c r="P83" s="349">
        <f>SUM(P84:Q86,P90:Q93)</f>
        <v>63222193.5</v>
      </c>
      <c r="Q83" s="346"/>
      <c r="R83" s="347"/>
      <c r="S83" s="6"/>
      <c r="T83" s="79"/>
      <c r="U83" s="87"/>
    </row>
    <row r="84" spans="2:24">
      <c r="B84" s="5"/>
      <c r="C84" s="63" t="s">
        <v>116</v>
      </c>
      <c r="D84" s="33"/>
      <c r="E84" s="33"/>
      <c r="F84" s="33"/>
      <c r="G84" s="33"/>
      <c r="H84" s="33"/>
      <c r="I84" s="33"/>
      <c r="J84" s="33"/>
      <c r="K84" s="33"/>
      <c r="L84" s="33"/>
      <c r="M84" s="33"/>
      <c r="N84" s="33"/>
      <c r="O84" s="33"/>
      <c r="P84" s="285" t="s">
        <v>117</v>
      </c>
      <c r="Q84" s="286"/>
      <c r="R84" s="99"/>
      <c r="S84" s="6"/>
    </row>
    <row r="85" spans="2:24">
      <c r="B85" s="5"/>
      <c r="C85" s="63" t="s">
        <v>118</v>
      </c>
      <c r="D85" s="33"/>
      <c r="E85" s="33"/>
      <c r="F85" s="33"/>
      <c r="G85" s="33"/>
      <c r="H85" s="33"/>
      <c r="I85" s="33"/>
      <c r="J85" s="33"/>
      <c r="K85" s="33"/>
      <c r="L85" s="33"/>
      <c r="M85" s="33"/>
      <c r="N85" s="33"/>
      <c r="O85" s="33"/>
      <c r="P85" s="350">
        <v>0</v>
      </c>
      <c r="Q85" s="351"/>
      <c r="R85" s="99"/>
      <c r="S85" s="6"/>
    </row>
    <row r="86" spans="2:24">
      <c r="B86" s="5"/>
      <c r="C86" s="63" t="s">
        <v>119</v>
      </c>
      <c r="D86" s="33"/>
      <c r="E86" s="33"/>
      <c r="F86" s="33"/>
      <c r="G86" s="33"/>
      <c r="H86" s="33"/>
      <c r="I86" s="33"/>
      <c r="J86" s="33"/>
      <c r="K86" s="33"/>
      <c r="L86" s="33"/>
      <c r="M86" s="33"/>
      <c r="N86" s="33"/>
      <c r="O86" s="33"/>
      <c r="P86" s="285">
        <f>SUM(P87:P89)</f>
        <v>60299606</v>
      </c>
      <c r="Q86" s="286"/>
      <c r="R86" s="99"/>
      <c r="S86" s="6"/>
    </row>
    <row r="87" spans="2:24">
      <c r="B87" s="5"/>
      <c r="C87" s="94" t="s">
        <v>120</v>
      </c>
      <c r="D87" s="33"/>
      <c r="E87" s="33"/>
      <c r="F87" s="33"/>
      <c r="G87" s="33"/>
      <c r="H87" s="33"/>
      <c r="I87" s="33"/>
      <c r="J87" s="33"/>
      <c r="K87" s="33"/>
      <c r="L87" s="33"/>
      <c r="M87" s="33"/>
      <c r="N87" s="33"/>
      <c r="O87" s="33"/>
      <c r="P87" s="83">
        <f>'Servicer Report'!J27</f>
        <v>0</v>
      </c>
      <c r="Q87" s="100"/>
      <c r="R87" s="99"/>
      <c r="S87" s="6"/>
    </row>
    <row r="88" spans="2:24">
      <c r="B88" s="5"/>
      <c r="C88" s="94" t="s">
        <v>121</v>
      </c>
      <c r="D88" s="33"/>
      <c r="E88" s="33"/>
      <c r="F88" s="33"/>
      <c r="G88" s="33"/>
      <c r="H88" s="33"/>
      <c r="I88" s="33"/>
      <c r="J88" s="33"/>
      <c r="K88" s="33"/>
      <c r="L88" s="33"/>
      <c r="M88" s="33"/>
      <c r="N88" s="33"/>
      <c r="O88" s="33"/>
      <c r="P88" s="83">
        <f>'Servicer Report'!J28</f>
        <v>60299606</v>
      </c>
      <c r="Q88" s="100"/>
      <c r="R88" s="99"/>
      <c r="S88" s="6"/>
    </row>
    <row r="89" spans="2:24">
      <c r="B89" s="5"/>
      <c r="C89" s="94" t="s">
        <v>122</v>
      </c>
      <c r="D89" s="33"/>
      <c r="E89" s="33"/>
      <c r="F89" s="33"/>
      <c r="G89" s="33"/>
      <c r="H89" s="33"/>
      <c r="I89" s="33"/>
      <c r="J89" s="33"/>
      <c r="K89" s="33"/>
      <c r="L89" s="33"/>
      <c r="M89" s="33"/>
      <c r="N89" s="33"/>
      <c r="O89" s="33"/>
      <c r="P89" s="83">
        <v>0</v>
      </c>
      <c r="Q89" s="101"/>
      <c r="R89" s="99"/>
      <c r="S89" s="6"/>
    </row>
    <row r="90" spans="2:24">
      <c r="B90" s="5"/>
      <c r="C90" s="63" t="s">
        <v>123</v>
      </c>
      <c r="D90" s="33"/>
      <c r="E90" s="33"/>
      <c r="F90" s="33"/>
      <c r="G90" s="33"/>
      <c r="H90" s="33"/>
      <c r="I90" s="33"/>
      <c r="J90" s="33"/>
      <c r="K90" s="33"/>
      <c r="L90" s="33"/>
      <c r="M90" s="33"/>
      <c r="N90" s="33"/>
      <c r="O90" s="33"/>
      <c r="P90" s="285">
        <f>'Servicer Report'!J30</f>
        <v>2922587.5</v>
      </c>
      <c r="Q90" s="286"/>
      <c r="R90" s="99"/>
      <c r="S90" s="6"/>
    </row>
    <row r="91" spans="2:24">
      <c r="B91" s="5"/>
      <c r="C91" s="63" t="s">
        <v>124</v>
      </c>
      <c r="D91" s="33"/>
      <c r="E91" s="33"/>
      <c r="F91" s="33"/>
      <c r="G91" s="33"/>
      <c r="H91" s="33"/>
      <c r="I91" s="33"/>
      <c r="J91" s="33"/>
      <c r="K91" s="33"/>
      <c r="L91" s="33"/>
      <c r="M91" s="33"/>
      <c r="N91" s="33"/>
      <c r="O91" s="33"/>
      <c r="P91" s="285">
        <v>0</v>
      </c>
      <c r="Q91" s="286"/>
      <c r="R91" s="99"/>
      <c r="S91" s="6"/>
    </row>
    <row r="92" spans="2:24">
      <c r="B92" s="5"/>
      <c r="C92" s="63" t="s">
        <v>125</v>
      </c>
      <c r="D92" s="33"/>
      <c r="E92" s="33"/>
      <c r="F92" s="33"/>
      <c r="G92" s="33"/>
      <c r="H92" s="33"/>
      <c r="I92" s="33"/>
      <c r="J92" s="33"/>
      <c r="K92" s="33"/>
      <c r="L92" s="33"/>
      <c r="M92" s="33"/>
      <c r="N92" s="33"/>
      <c r="O92" s="33"/>
      <c r="P92" s="285">
        <v>0</v>
      </c>
      <c r="Q92" s="286"/>
      <c r="R92" s="99"/>
      <c r="S92" s="6"/>
    </row>
    <row r="93" spans="2:24">
      <c r="B93" s="5"/>
      <c r="C93" s="90" t="s">
        <v>126</v>
      </c>
      <c r="D93" s="91"/>
      <c r="E93" s="91"/>
      <c r="F93" s="91"/>
      <c r="G93" s="91"/>
      <c r="H93" s="91"/>
      <c r="I93" s="91"/>
      <c r="J93" s="91"/>
      <c r="K93" s="91"/>
      <c r="L93" s="91"/>
      <c r="M93" s="91"/>
      <c r="N93" s="91"/>
      <c r="O93" s="91"/>
      <c r="P93" s="301">
        <v>0</v>
      </c>
      <c r="Q93" s="302"/>
      <c r="R93" s="103"/>
      <c r="S93" s="6"/>
    </row>
    <row r="94" spans="2:24">
      <c r="B94" s="5"/>
      <c r="C94" s="348" t="s">
        <v>127</v>
      </c>
      <c r="D94" s="338"/>
      <c r="E94" s="338"/>
      <c r="F94" s="338"/>
      <c r="G94" s="338"/>
      <c r="H94" s="338"/>
      <c r="I94" s="338"/>
      <c r="J94" s="338"/>
      <c r="K94" s="338"/>
      <c r="L94" s="338"/>
      <c r="M94" s="338"/>
      <c r="N94" s="338"/>
      <c r="O94" s="338"/>
      <c r="P94" s="338"/>
      <c r="Q94" s="338"/>
      <c r="R94" s="339"/>
      <c r="S94" s="6"/>
    </row>
    <row r="95" spans="2:24">
      <c r="B95" s="5"/>
      <c r="C95" s="104" t="s">
        <v>128</v>
      </c>
      <c r="D95" s="33"/>
      <c r="E95" s="33"/>
      <c r="F95" s="33"/>
      <c r="G95" s="33"/>
      <c r="H95" s="33"/>
      <c r="I95" s="33"/>
      <c r="J95" s="33"/>
      <c r="K95" s="33"/>
      <c r="L95" s="33"/>
      <c r="M95" s="33"/>
      <c r="N95" s="33"/>
      <c r="O95" s="33"/>
      <c r="P95" s="349">
        <f>SUM(P96:Q99)</f>
        <v>106661920.30917808</v>
      </c>
      <c r="Q95" s="346"/>
      <c r="R95" s="347"/>
      <c r="S95" s="6"/>
      <c r="T95" s="75"/>
      <c r="U95" s="26"/>
      <c r="W95" s="75"/>
    </row>
    <row r="96" spans="2:24">
      <c r="B96" s="5"/>
      <c r="C96" s="63" t="s">
        <v>129</v>
      </c>
      <c r="D96" s="33"/>
      <c r="E96" s="33"/>
      <c r="F96" s="33"/>
      <c r="G96" s="33"/>
      <c r="H96" s="33"/>
      <c r="I96" s="33"/>
      <c r="J96" s="33"/>
      <c r="K96" s="33"/>
      <c r="L96" s="33"/>
      <c r="M96" s="33"/>
      <c r="N96" s="33"/>
      <c r="O96" s="33"/>
      <c r="P96" s="285">
        <f>P56</f>
        <v>2661784.902999986</v>
      </c>
      <c r="Q96" s="286"/>
      <c r="R96" s="6"/>
      <c r="S96" s="6"/>
      <c r="T96" s="75"/>
      <c r="U96" s="26"/>
      <c r="X96" s="26"/>
    </row>
    <row r="97" spans="2:23">
      <c r="B97" s="5"/>
      <c r="C97" s="63" t="s">
        <v>130</v>
      </c>
      <c r="D97" s="33"/>
      <c r="E97" s="33"/>
      <c r="F97" s="33"/>
      <c r="G97" s="33"/>
      <c r="H97" s="33"/>
      <c r="I97" s="33"/>
      <c r="J97" s="33"/>
      <c r="K97" s="33"/>
      <c r="L97" s="33"/>
      <c r="M97" s="33"/>
      <c r="N97" s="33"/>
      <c r="O97" s="33"/>
      <c r="P97" s="285">
        <f>P60+P63+P66-P83+Q58+P81-P99</f>
        <v>70942514.169178098</v>
      </c>
      <c r="Q97" s="286"/>
      <c r="R97" s="6"/>
      <c r="S97" s="6"/>
      <c r="T97" s="79"/>
      <c r="U97" s="26"/>
      <c r="W97" s="75"/>
    </row>
    <row r="98" spans="2:23">
      <c r="B98" s="5"/>
      <c r="C98" s="63" t="s">
        <v>91</v>
      </c>
      <c r="D98" s="33"/>
      <c r="E98" s="33"/>
      <c r="F98" s="33"/>
      <c r="G98" s="33"/>
      <c r="H98" s="33"/>
      <c r="I98" s="33"/>
      <c r="J98" s="33"/>
      <c r="K98" s="33"/>
      <c r="L98" s="33"/>
      <c r="M98" s="33"/>
      <c r="N98" s="33"/>
      <c r="O98" s="33"/>
      <c r="P98" s="285">
        <f>O204</f>
        <v>0</v>
      </c>
      <c r="Q98" s="286"/>
      <c r="R98" s="6"/>
      <c r="S98" s="6"/>
      <c r="W98" s="79"/>
    </row>
    <row r="99" spans="2:23" ht="15.75" thickBot="1">
      <c r="B99" s="5"/>
      <c r="C99" s="105" t="s">
        <v>92</v>
      </c>
      <c r="D99" s="106"/>
      <c r="E99" s="106"/>
      <c r="F99" s="106"/>
      <c r="G99" s="106"/>
      <c r="H99" s="106"/>
      <c r="I99" s="106"/>
      <c r="J99" s="106"/>
      <c r="K99" s="106"/>
      <c r="L99" s="106"/>
      <c r="M99" s="106"/>
      <c r="N99" s="106"/>
      <c r="O99" s="106"/>
      <c r="P99" s="345">
        <f>O195</f>
        <v>33057621.237</v>
      </c>
      <c r="Q99" s="340"/>
      <c r="R99" s="107"/>
      <c r="S99" s="6"/>
      <c r="U99" s="26"/>
    </row>
    <row r="100" spans="2:23" ht="15.75" thickBot="1">
      <c r="B100" s="5"/>
      <c r="C100" s="108"/>
      <c r="D100" s="7"/>
      <c r="E100" s="7"/>
      <c r="F100" s="7"/>
      <c r="G100" s="7"/>
      <c r="H100" s="7"/>
      <c r="I100" s="7"/>
      <c r="J100" s="7"/>
      <c r="K100" s="7"/>
      <c r="L100" s="7"/>
      <c r="M100" s="7"/>
      <c r="N100" s="7"/>
      <c r="O100" s="7"/>
      <c r="P100" s="7"/>
      <c r="Q100" s="7"/>
      <c r="R100" s="7"/>
      <c r="S100" s="6"/>
      <c r="T100" s="75"/>
      <c r="V100" s="109"/>
      <c r="W100" s="79"/>
    </row>
    <row r="101" spans="2:23">
      <c r="B101" s="5"/>
      <c r="C101" s="260" t="s">
        <v>131</v>
      </c>
      <c r="D101" s="261"/>
      <c r="E101" s="261"/>
      <c r="F101" s="261"/>
      <c r="G101" s="261"/>
      <c r="H101" s="261"/>
      <c r="I101" s="261"/>
      <c r="J101" s="261"/>
      <c r="K101" s="261"/>
      <c r="L101" s="261"/>
      <c r="M101" s="261"/>
      <c r="N101" s="261"/>
      <c r="O101" s="261"/>
      <c r="P101" s="261"/>
      <c r="Q101" s="261"/>
      <c r="R101" s="262"/>
      <c r="S101" s="6"/>
      <c r="T101" s="75"/>
      <c r="V101" s="109"/>
    </row>
    <row r="102" spans="2:23">
      <c r="B102" s="5"/>
      <c r="C102" s="98" t="s">
        <v>132</v>
      </c>
      <c r="D102" s="110"/>
      <c r="E102" s="110"/>
      <c r="F102" s="110"/>
      <c r="G102" s="110"/>
      <c r="H102" s="110"/>
      <c r="I102" s="110"/>
      <c r="J102" s="110"/>
      <c r="K102" s="110"/>
      <c r="L102" s="110"/>
      <c r="M102" s="110"/>
      <c r="N102" s="110"/>
      <c r="O102" s="111"/>
      <c r="P102" s="346">
        <f>P103+P104+P105-P106+P107+P108</f>
        <v>27745041.603500001</v>
      </c>
      <c r="Q102" s="346"/>
      <c r="R102" s="347"/>
      <c r="S102" s="6"/>
      <c r="V102" s="109"/>
    </row>
    <row r="103" spans="2:23">
      <c r="B103" s="5"/>
      <c r="C103" s="63" t="s">
        <v>133</v>
      </c>
      <c r="D103" s="33"/>
      <c r="E103" s="33"/>
      <c r="F103" s="33"/>
      <c r="G103" s="33"/>
      <c r="H103" s="33"/>
      <c r="I103" s="33"/>
      <c r="J103" s="33"/>
      <c r="K103" s="33"/>
      <c r="L103" s="33"/>
      <c r="M103" s="33"/>
      <c r="N103" s="33"/>
      <c r="O103" s="89"/>
      <c r="P103" s="286">
        <f>Q67+Q68+P81</f>
        <v>27715694.289999999</v>
      </c>
      <c r="Q103" s="286"/>
      <c r="R103" s="112"/>
      <c r="S103" s="6"/>
      <c r="V103" s="109"/>
    </row>
    <row r="104" spans="2:23">
      <c r="B104" s="5"/>
      <c r="C104" s="63" t="s">
        <v>134</v>
      </c>
      <c r="D104" s="33"/>
      <c r="E104" s="33"/>
      <c r="F104" s="33"/>
      <c r="G104" s="33"/>
      <c r="H104" s="33"/>
      <c r="I104" s="33"/>
      <c r="J104" s="33"/>
      <c r="K104" s="33"/>
      <c r="L104" s="33"/>
      <c r="M104" s="33"/>
      <c r="N104" s="33"/>
      <c r="O104" s="89"/>
      <c r="P104" s="286">
        <f>'Servicer Report'!L58*50%</f>
        <v>2951934.8135000002</v>
      </c>
      <c r="Q104" s="286"/>
      <c r="R104" s="93"/>
      <c r="S104" s="6"/>
      <c r="V104" s="113"/>
    </row>
    <row r="105" spans="2:23">
      <c r="B105" s="5"/>
      <c r="C105" s="63" t="s">
        <v>135</v>
      </c>
      <c r="D105" s="33"/>
      <c r="E105" s="33"/>
      <c r="F105" s="33"/>
      <c r="G105" s="33"/>
      <c r="H105" s="33"/>
      <c r="I105" s="33"/>
      <c r="J105" s="33"/>
      <c r="K105" s="33"/>
      <c r="L105" s="33"/>
      <c r="M105" s="33"/>
      <c r="N105" s="33"/>
      <c r="O105" s="89"/>
      <c r="P105" s="286">
        <v>0</v>
      </c>
      <c r="Q105" s="286"/>
      <c r="R105" s="93"/>
      <c r="S105" s="6"/>
    </row>
    <row r="106" spans="2:23">
      <c r="B106" s="5"/>
      <c r="C106" s="63" t="s">
        <v>136</v>
      </c>
      <c r="D106" s="33"/>
      <c r="E106" s="33"/>
      <c r="F106" s="33"/>
      <c r="G106" s="33"/>
      <c r="H106" s="33"/>
      <c r="I106" s="33"/>
      <c r="J106" s="33"/>
      <c r="K106" s="33"/>
      <c r="L106" s="33"/>
      <c r="M106" s="33"/>
      <c r="N106" s="33"/>
      <c r="O106" s="89"/>
      <c r="P106" s="286">
        <f>'Servicer Report'!J30</f>
        <v>2922587.5</v>
      </c>
      <c r="Q106" s="286"/>
      <c r="R106" s="93"/>
      <c r="S106" s="6"/>
      <c r="V106" s="79"/>
    </row>
    <row r="107" spans="2:23">
      <c r="B107" s="5"/>
      <c r="C107" s="63" t="s">
        <v>137</v>
      </c>
      <c r="D107" s="33"/>
      <c r="E107" s="33"/>
      <c r="F107" s="33"/>
      <c r="G107" s="33"/>
      <c r="H107" s="33"/>
      <c r="I107" s="33"/>
      <c r="J107" s="33"/>
      <c r="K107" s="33"/>
      <c r="L107" s="33"/>
      <c r="M107" s="33"/>
      <c r="N107" s="33"/>
      <c r="O107" s="89"/>
      <c r="P107" s="286">
        <v>0</v>
      </c>
      <c r="Q107" s="286"/>
      <c r="R107" s="93"/>
      <c r="S107" s="6"/>
      <c r="V107" s="79"/>
    </row>
    <row r="108" spans="2:23" ht="15.75" thickBot="1">
      <c r="B108" s="5"/>
      <c r="C108" s="105" t="s">
        <v>138</v>
      </c>
      <c r="D108" s="106"/>
      <c r="E108" s="106"/>
      <c r="F108" s="106"/>
      <c r="G108" s="106"/>
      <c r="H108" s="106"/>
      <c r="I108" s="106"/>
      <c r="J108" s="106"/>
      <c r="K108" s="106"/>
      <c r="L108" s="106"/>
      <c r="M108" s="106"/>
      <c r="N108" s="106"/>
      <c r="O108" s="114"/>
      <c r="P108" s="340">
        <v>0</v>
      </c>
      <c r="Q108" s="340"/>
      <c r="R108" s="115"/>
      <c r="S108" s="6"/>
    </row>
    <row r="109" spans="2:23" ht="15.75" thickBot="1">
      <c r="B109" s="5"/>
      <c r="C109" s="108"/>
      <c r="D109" s="7"/>
      <c r="E109" s="7"/>
      <c r="F109" s="7"/>
      <c r="G109" s="7"/>
      <c r="H109" s="7"/>
      <c r="I109" s="7"/>
      <c r="J109" s="116"/>
      <c r="K109" s="116"/>
      <c r="L109" s="116"/>
      <c r="M109" s="116"/>
      <c r="N109" s="116"/>
      <c r="O109" s="116"/>
      <c r="P109" s="116"/>
      <c r="Q109" s="116"/>
      <c r="R109" s="117"/>
      <c r="S109" s="6"/>
    </row>
    <row r="110" spans="2:23">
      <c r="B110" s="5"/>
      <c r="C110" s="260" t="s">
        <v>139</v>
      </c>
      <c r="D110" s="261"/>
      <c r="E110" s="261"/>
      <c r="F110" s="261"/>
      <c r="G110" s="261"/>
      <c r="H110" s="261"/>
      <c r="I110" s="261"/>
      <c r="J110" s="261"/>
      <c r="K110" s="261"/>
      <c r="L110" s="261"/>
      <c r="M110" s="261"/>
      <c r="N110" s="261"/>
      <c r="O110" s="261"/>
      <c r="P110" s="261"/>
      <c r="Q110" s="261"/>
      <c r="R110" s="262"/>
      <c r="S110" s="6"/>
    </row>
    <row r="111" spans="2:23">
      <c r="B111" s="5"/>
      <c r="C111" s="118" t="s">
        <v>140</v>
      </c>
      <c r="D111" s="12"/>
      <c r="E111" s="12"/>
      <c r="F111" s="12"/>
      <c r="G111" s="12"/>
      <c r="H111" s="12"/>
      <c r="I111" s="12"/>
      <c r="J111" s="12"/>
      <c r="K111" s="12"/>
      <c r="L111" s="12"/>
      <c r="M111" s="12"/>
      <c r="N111" s="12"/>
      <c r="O111" s="13"/>
      <c r="P111" s="341">
        <f>P102</f>
        <v>27745041.603500001</v>
      </c>
      <c r="Q111" s="341"/>
      <c r="R111" s="342"/>
      <c r="S111" s="6"/>
    </row>
    <row r="112" spans="2:23">
      <c r="B112" s="5"/>
      <c r="C112" s="119" t="s">
        <v>141</v>
      </c>
      <c r="D112" s="21"/>
      <c r="E112" s="21"/>
      <c r="F112" s="21"/>
      <c r="G112" s="21"/>
      <c r="H112" s="21"/>
      <c r="I112" s="21"/>
      <c r="J112" s="21"/>
      <c r="K112" s="21"/>
      <c r="L112" s="21"/>
      <c r="M112" s="21"/>
      <c r="N112" s="21"/>
      <c r="O112" s="23"/>
      <c r="P112" s="343">
        <f>N159</f>
        <v>68310929.6119712</v>
      </c>
      <c r="Q112" s="343"/>
      <c r="R112" s="344"/>
      <c r="S112" s="6"/>
    </row>
    <row r="113" spans="2:19" ht="15.75" thickBot="1">
      <c r="B113" s="5"/>
      <c r="C113" s="120" t="s">
        <v>142</v>
      </c>
      <c r="D113" s="28"/>
      <c r="E113" s="28"/>
      <c r="F113" s="28"/>
      <c r="G113" s="28"/>
      <c r="H113" s="28"/>
      <c r="I113" s="28"/>
      <c r="J113" s="28"/>
      <c r="K113" s="28"/>
      <c r="L113" s="28"/>
      <c r="M113" s="28"/>
      <c r="N113" s="28"/>
      <c r="O113" s="121"/>
      <c r="P113" s="332">
        <f>MAX(P111-P112,0)</f>
        <v>0</v>
      </c>
      <c r="Q113" s="332"/>
      <c r="R113" s="333"/>
      <c r="S113" s="6"/>
    </row>
    <row r="114" spans="2:19" ht="15.75" thickBot="1">
      <c r="B114" s="5"/>
      <c r="C114" s="108"/>
      <c r="D114" s="7"/>
      <c r="E114" s="7"/>
      <c r="F114" s="7"/>
      <c r="G114" s="7"/>
      <c r="H114" s="7"/>
      <c r="I114" s="7"/>
      <c r="J114" s="7"/>
      <c r="K114" s="7"/>
      <c r="L114" s="7"/>
      <c r="M114" s="7"/>
      <c r="N114" s="7"/>
      <c r="O114" s="116"/>
      <c r="P114" s="116"/>
      <c r="Q114" s="116"/>
      <c r="R114" s="117"/>
      <c r="S114" s="6"/>
    </row>
    <row r="115" spans="2:19">
      <c r="B115" s="5"/>
      <c r="C115" s="260" t="s">
        <v>143</v>
      </c>
      <c r="D115" s="261"/>
      <c r="E115" s="261"/>
      <c r="F115" s="261"/>
      <c r="G115" s="261"/>
      <c r="H115" s="261"/>
      <c r="I115" s="261"/>
      <c r="J115" s="261"/>
      <c r="K115" s="261"/>
      <c r="L115" s="261"/>
      <c r="M115" s="261"/>
      <c r="N115" s="261"/>
      <c r="O115" s="261"/>
      <c r="P115" s="261"/>
      <c r="Q115" s="261"/>
      <c r="R115" s="262"/>
      <c r="S115" s="6"/>
    </row>
    <row r="116" spans="2:19">
      <c r="B116" s="5"/>
      <c r="C116" s="122"/>
      <c r="D116" s="123"/>
      <c r="E116" s="123"/>
      <c r="F116" s="123"/>
      <c r="G116" s="123"/>
      <c r="H116" s="123"/>
      <c r="I116" s="123"/>
      <c r="J116" s="123"/>
      <c r="K116" s="334" t="s">
        <v>144</v>
      </c>
      <c r="L116" s="335"/>
      <c r="M116" s="336" t="s">
        <v>145</v>
      </c>
      <c r="N116" s="337"/>
      <c r="O116" s="336" t="s">
        <v>146</v>
      </c>
      <c r="P116" s="337"/>
      <c r="Q116" s="338" t="s">
        <v>147</v>
      </c>
      <c r="R116" s="339"/>
      <c r="S116" s="6"/>
    </row>
    <row r="117" spans="2:19">
      <c r="B117" s="5"/>
      <c r="C117" s="119" t="s">
        <v>148</v>
      </c>
      <c r="D117" s="29"/>
      <c r="E117" s="29"/>
      <c r="F117" s="29"/>
      <c r="G117" s="29"/>
      <c r="H117" s="29"/>
      <c r="I117" s="29"/>
      <c r="J117" s="29"/>
      <c r="K117" s="326">
        <v>0</v>
      </c>
      <c r="L117" s="327"/>
      <c r="M117" s="326">
        <v>0</v>
      </c>
      <c r="N117" s="327"/>
      <c r="O117" s="326" t="s">
        <v>149</v>
      </c>
      <c r="P117" s="327"/>
      <c r="Q117" s="326" t="s">
        <v>149</v>
      </c>
      <c r="R117" s="328"/>
      <c r="S117" s="6"/>
    </row>
    <row r="118" spans="2:19" ht="15.75" thickBot="1">
      <c r="B118" s="5"/>
      <c r="C118" s="120" t="s">
        <v>150</v>
      </c>
      <c r="D118" s="106"/>
      <c r="E118" s="106"/>
      <c r="F118" s="106"/>
      <c r="G118" s="106"/>
      <c r="H118" s="106"/>
      <c r="I118" s="106"/>
      <c r="J118" s="106"/>
      <c r="K118" s="329">
        <v>0</v>
      </c>
      <c r="L118" s="330"/>
      <c r="M118" s="329">
        <v>0</v>
      </c>
      <c r="N118" s="330"/>
      <c r="O118" s="329" t="s">
        <v>149</v>
      </c>
      <c r="P118" s="330"/>
      <c r="Q118" s="329" t="s">
        <v>149</v>
      </c>
      <c r="R118" s="331"/>
      <c r="S118" s="6"/>
    </row>
    <row r="119" spans="2:19" ht="15.75" thickBot="1">
      <c r="B119" s="5"/>
      <c r="C119" s="108"/>
      <c r="D119" s="7"/>
      <c r="E119" s="7"/>
      <c r="F119" s="7"/>
      <c r="G119" s="7"/>
      <c r="H119" s="7"/>
      <c r="I119" s="7"/>
      <c r="J119" s="7"/>
      <c r="K119" s="7"/>
      <c r="L119" s="7"/>
      <c r="M119" s="7"/>
      <c r="N119" s="7"/>
      <c r="O119" s="7"/>
      <c r="P119" s="7"/>
      <c r="Q119" s="7"/>
      <c r="R119" s="7"/>
      <c r="S119" s="6"/>
    </row>
    <row r="120" spans="2:19">
      <c r="B120" s="5"/>
      <c r="C120" s="260" t="s">
        <v>151</v>
      </c>
      <c r="D120" s="261"/>
      <c r="E120" s="261"/>
      <c r="F120" s="261"/>
      <c r="G120" s="261"/>
      <c r="H120" s="261"/>
      <c r="I120" s="261"/>
      <c r="J120" s="261"/>
      <c r="K120" s="261"/>
      <c r="L120" s="261"/>
      <c r="M120" s="261"/>
      <c r="N120" s="261"/>
      <c r="O120" s="261"/>
      <c r="P120" s="261"/>
      <c r="Q120" s="261"/>
      <c r="R120" s="262"/>
      <c r="S120" s="6"/>
    </row>
    <row r="121" spans="2:19">
      <c r="B121" s="5"/>
      <c r="C121" s="63" t="s">
        <v>152</v>
      </c>
      <c r="D121" s="33"/>
      <c r="E121" s="33"/>
      <c r="F121" s="33"/>
      <c r="G121" s="33"/>
      <c r="H121" s="33"/>
      <c r="I121" s="33"/>
      <c r="J121" s="33"/>
      <c r="K121" s="33"/>
      <c r="L121" s="33"/>
      <c r="M121" s="33"/>
      <c r="N121" s="33"/>
      <c r="O121" s="33"/>
      <c r="P121" s="311" t="s">
        <v>153</v>
      </c>
      <c r="Q121" s="312"/>
      <c r="R121" s="124"/>
      <c r="S121" s="6"/>
    </row>
    <row r="122" spans="2:19">
      <c r="B122" s="5"/>
      <c r="C122" s="63" t="s">
        <v>154</v>
      </c>
      <c r="D122" s="33"/>
      <c r="E122" s="33"/>
      <c r="F122" s="33"/>
      <c r="G122" s="33"/>
      <c r="H122" s="33"/>
      <c r="I122" s="33"/>
      <c r="J122" s="33"/>
      <c r="K122" s="33"/>
      <c r="L122" s="33"/>
      <c r="M122" s="33"/>
      <c r="N122" s="33"/>
      <c r="O122" s="33"/>
      <c r="P122" s="324" t="s">
        <v>153</v>
      </c>
      <c r="Q122" s="325"/>
      <c r="R122" s="125"/>
      <c r="S122" s="6"/>
    </row>
    <row r="123" spans="2:19">
      <c r="B123" s="5"/>
      <c r="C123" s="63" t="s">
        <v>155</v>
      </c>
      <c r="D123" s="33"/>
      <c r="E123" s="33"/>
      <c r="F123" s="33"/>
      <c r="G123" s="33"/>
      <c r="H123" s="33"/>
      <c r="I123" s="33"/>
      <c r="J123" s="33"/>
      <c r="K123" s="33"/>
      <c r="L123" s="33"/>
      <c r="M123" s="33"/>
      <c r="N123" s="33"/>
      <c r="O123" s="33"/>
      <c r="P123" s="324" t="s">
        <v>149</v>
      </c>
      <c r="Q123" s="325"/>
      <c r="R123" s="125"/>
      <c r="S123" s="6"/>
    </row>
    <row r="124" spans="2:19">
      <c r="B124" s="5"/>
      <c r="C124" s="118" t="s">
        <v>156</v>
      </c>
      <c r="D124" s="91"/>
      <c r="E124" s="91"/>
      <c r="F124" s="91"/>
      <c r="G124" s="91"/>
      <c r="H124" s="91"/>
      <c r="I124" s="91"/>
      <c r="J124" s="91"/>
      <c r="K124" s="91"/>
      <c r="L124" s="91"/>
      <c r="M124" s="91"/>
      <c r="N124" s="91"/>
      <c r="O124" s="91"/>
      <c r="P124" s="308" t="s">
        <v>153</v>
      </c>
      <c r="Q124" s="309"/>
      <c r="R124" s="310"/>
      <c r="S124" s="6"/>
    </row>
    <row r="125" spans="2:19">
      <c r="B125" s="5"/>
      <c r="C125" s="126" t="s">
        <v>157</v>
      </c>
      <c r="D125" s="77"/>
      <c r="E125" s="77"/>
      <c r="F125" s="77"/>
      <c r="G125" s="77"/>
      <c r="H125" s="77"/>
      <c r="I125" s="77"/>
      <c r="J125" s="77"/>
      <c r="K125" s="77"/>
      <c r="L125" s="77"/>
      <c r="M125" s="77"/>
      <c r="N125" s="77"/>
      <c r="O125" s="127"/>
      <c r="P125" s="306" t="s">
        <v>153</v>
      </c>
      <c r="Q125" s="307"/>
      <c r="R125" s="128"/>
      <c r="S125" s="6"/>
    </row>
    <row r="126" spans="2:19">
      <c r="B126" s="5"/>
      <c r="C126" s="94" t="s">
        <v>158</v>
      </c>
      <c r="D126" s="33"/>
      <c r="E126" s="33"/>
      <c r="F126" s="33"/>
      <c r="G126" s="33"/>
      <c r="H126" s="33"/>
      <c r="I126" s="33"/>
      <c r="J126" s="33"/>
      <c r="K126" s="33"/>
      <c r="L126" s="33"/>
      <c r="M126" s="33"/>
      <c r="N126" s="33"/>
      <c r="O126" s="129"/>
      <c r="P126" s="306" t="s">
        <v>153</v>
      </c>
      <c r="Q126" s="307"/>
      <c r="R126" s="128"/>
      <c r="S126" s="6"/>
    </row>
    <row r="127" spans="2:19">
      <c r="B127" s="5"/>
      <c r="C127" s="94" t="s">
        <v>159</v>
      </c>
      <c r="D127" s="33"/>
      <c r="E127" s="33"/>
      <c r="F127" s="33"/>
      <c r="G127" s="33"/>
      <c r="H127" s="33"/>
      <c r="I127" s="33"/>
      <c r="J127" s="33"/>
      <c r="K127" s="33"/>
      <c r="L127" s="33"/>
      <c r="M127" s="33"/>
      <c r="N127" s="33"/>
      <c r="O127" s="129"/>
      <c r="P127" s="306" t="s">
        <v>153</v>
      </c>
      <c r="Q127" s="307"/>
      <c r="R127" s="128"/>
      <c r="S127" s="6"/>
    </row>
    <row r="128" spans="2:19">
      <c r="B128" s="5"/>
      <c r="C128" s="94" t="s">
        <v>160</v>
      </c>
      <c r="D128" s="33"/>
      <c r="E128" s="33"/>
      <c r="F128" s="33"/>
      <c r="G128" s="33"/>
      <c r="H128" s="33"/>
      <c r="I128" s="33"/>
      <c r="J128" s="33"/>
      <c r="K128" s="33"/>
      <c r="L128" s="33"/>
      <c r="M128" s="33"/>
      <c r="N128" s="33"/>
      <c r="O128" s="129"/>
      <c r="P128" s="306" t="s">
        <v>149</v>
      </c>
      <c r="Q128" s="307"/>
      <c r="R128" s="128"/>
      <c r="S128" s="6"/>
    </row>
    <row r="129" spans="2:19">
      <c r="B129" s="5"/>
      <c r="C129" s="94" t="s">
        <v>161</v>
      </c>
      <c r="D129" s="33"/>
      <c r="E129" s="33"/>
      <c r="F129" s="33"/>
      <c r="G129" s="33"/>
      <c r="H129" s="33"/>
      <c r="I129" s="33"/>
      <c r="J129" s="33"/>
      <c r="K129" s="33"/>
      <c r="L129" s="33"/>
      <c r="M129" s="33"/>
      <c r="N129" s="33"/>
      <c r="O129" s="129"/>
      <c r="P129" s="306" t="s">
        <v>149</v>
      </c>
      <c r="Q129" s="307"/>
      <c r="R129" s="128"/>
      <c r="S129" s="6"/>
    </row>
    <row r="130" spans="2:19">
      <c r="B130" s="5"/>
      <c r="C130" s="94" t="s">
        <v>162</v>
      </c>
      <c r="D130" s="33"/>
      <c r="E130" s="33"/>
      <c r="F130" s="33"/>
      <c r="G130" s="33"/>
      <c r="H130" s="33"/>
      <c r="I130" s="33"/>
      <c r="J130" s="33"/>
      <c r="K130" s="33"/>
      <c r="L130" s="33"/>
      <c r="M130" s="33"/>
      <c r="N130" s="33"/>
      <c r="O130" s="129"/>
      <c r="P130" s="306" t="s">
        <v>149</v>
      </c>
      <c r="Q130" s="307"/>
      <c r="R130" s="128"/>
      <c r="S130" s="6"/>
    </row>
    <row r="131" spans="2:19">
      <c r="B131" s="5"/>
      <c r="C131" s="94" t="s">
        <v>163</v>
      </c>
      <c r="D131" s="33"/>
      <c r="E131" s="33"/>
      <c r="F131" s="33"/>
      <c r="G131" s="33"/>
      <c r="H131" s="33"/>
      <c r="I131" s="33"/>
      <c r="J131" s="33"/>
      <c r="K131" s="33"/>
      <c r="L131" s="33"/>
      <c r="M131" s="33"/>
      <c r="N131" s="33"/>
      <c r="O131" s="129"/>
      <c r="P131" s="306" t="s">
        <v>149</v>
      </c>
      <c r="Q131" s="307"/>
      <c r="R131" s="128"/>
      <c r="S131" s="6"/>
    </row>
    <row r="132" spans="2:19">
      <c r="B132" s="5"/>
      <c r="C132" s="94" t="s">
        <v>164</v>
      </c>
      <c r="D132" s="33"/>
      <c r="E132" s="33"/>
      <c r="F132" s="33"/>
      <c r="G132" s="33"/>
      <c r="H132" s="33"/>
      <c r="I132" s="33"/>
      <c r="J132" s="33"/>
      <c r="K132" s="33"/>
      <c r="L132" s="33"/>
      <c r="M132" s="33"/>
      <c r="N132" s="33"/>
      <c r="O132" s="129"/>
      <c r="P132" s="306" t="s">
        <v>149</v>
      </c>
      <c r="Q132" s="307"/>
      <c r="R132" s="128"/>
      <c r="S132" s="6"/>
    </row>
    <row r="133" spans="2:19">
      <c r="B133" s="5"/>
      <c r="C133" s="118" t="s">
        <v>165</v>
      </c>
      <c r="D133" s="91"/>
      <c r="E133" s="91"/>
      <c r="F133" s="91"/>
      <c r="G133" s="91"/>
      <c r="H133" s="91"/>
      <c r="I133" s="91"/>
      <c r="J133" s="91"/>
      <c r="K133" s="91"/>
      <c r="L133" s="91"/>
      <c r="M133" s="91"/>
      <c r="N133" s="91"/>
      <c r="O133" s="130"/>
      <c r="P133" s="308" t="s">
        <v>153</v>
      </c>
      <c r="Q133" s="309"/>
      <c r="R133" s="310"/>
      <c r="S133" s="6"/>
    </row>
    <row r="134" spans="2:19">
      <c r="B134" s="5"/>
      <c r="C134" s="126" t="s">
        <v>166</v>
      </c>
      <c r="D134" s="77"/>
      <c r="E134" s="77"/>
      <c r="F134" s="77"/>
      <c r="G134" s="77"/>
      <c r="H134" s="77"/>
      <c r="I134" s="77"/>
      <c r="J134" s="77"/>
      <c r="K134" s="77"/>
      <c r="L134" s="77"/>
      <c r="M134" s="77"/>
      <c r="N134" s="77"/>
      <c r="O134" s="127"/>
      <c r="P134" s="311" t="s">
        <v>153</v>
      </c>
      <c r="Q134" s="312"/>
      <c r="R134" s="131"/>
      <c r="S134" s="6"/>
    </row>
    <row r="135" spans="2:19" ht="15.75" thickBot="1">
      <c r="B135" s="5"/>
      <c r="C135" s="120" t="s">
        <v>167</v>
      </c>
      <c r="D135" s="106"/>
      <c r="E135" s="106"/>
      <c r="F135" s="106"/>
      <c r="G135" s="106"/>
      <c r="H135" s="106"/>
      <c r="I135" s="106"/>
      <c r="J135" s="106"/>
      <c r="K135" s="106"/>
      <c r="L135" s="106"/>
      <c r="M135" s="106"/>
      <c r="N135" s="106"/>
      <c r="O135" s="132"/>
      <c r="P135" s="313" t="s">
        <v>153</v>
      </c>
      <c r="Q135" s="314"/>
      <c r="R135" s="315"/>
      <c r="S135" s="6"/>
    </row>
    <row r="136" spans="2:19" ht="15.75" thickBot="1">
      <c r="B136" s="5"/>
      <c r="C136" s="108"/>
      <c r="D136" s="7"/>
      <c r="E136" s="7"/>
      <c r="F136" s="7"/>
      <c r="G136" s="7"/>
      <c r="H136" s="7"/>
      <c r="I136" s="7"/>
      <c r="J136" s="7"/>
      <c r="K136" s="7"/>
      <c r="L136" s="7"/>
      <c r="M136" s="7"/>
      <c r="N136" s="7"/>
      <c r="O136" s="7"/>
      <c r="P136" s="7"/>
      <c r="Q136" s="7"/>
      <c r="R136" s="7"/>
      <c r="S136" s="6"/>
    </row>
    <row r="137" spans="2:19">
      <c r="B137" s="5"/>
      <c r="C137" s="260" t="s">
        <v>168</v>
      </c>
      <c r="D137" s="261"/>
      <c r="E137" s="261"/>
      <c r="F137" s="261"/>
      <c r="G137" s="261"/>
      <c r="H137" s="261"/>
      <c r="I137" s="261"/>
      <c r="J137" s="261"/>
      <c r="K137" s="261"/>
      <c r="L137" s="261"/>
      <c r="M137" s="261"/>
      <c r="N137" s="261"/>
      <c r="O137" s="261"/>
      <c r="P137" s="261"/>
      <c r="Q137" s="261"/>
      <c r="R137" s="262"/>
      <c r="S137" s="6"/>
    </row>
    <row r="138" spans="2:19" ht="45.75" customHeight="1">
      <c r="B138" s="5"/>
      <c r="C138" s="316" t="s">
        <v>169</v>
      </c>
      <c r="D138" s="317"/>
      <c r="E138" s="317"/>
      <c r="F138" s="317"/>
      <c r="G138" s="317"/>
      <c r="H138" s="317"/>
      <c r="I138" s="317"/>
      <c r="J138" s="318"/>
      <c r="K138" s="244" t="s">
        <v>170</v>
      </c>
      <c r="L138" s="319"/>
      <c r="M138" s="245"/>
      <c r="N138" s="320" t="s">
        <v>171</v>
      </c>
      <c r="O138" s="321"/>
      <c r="P138" s="322"/>
      <c r="Q138" s="244" t="s">
        <v>172</v>
      </c>
      <c r="R138" s="323"/>
      <c r="S138" s="6"/>
    </row>
    <row r="139" spans="2:19">
      <c r="B139" s="5"/>
      <c r="C139" s="119" t="s">
        <v>173</v>
      </c>
      <c r="D139" s="29"/>
      <c r="E139" s="29"/>
      <c r="F139" s="29"/>
      <c r="G139" s="29"/>
      <c r="H139" s="29"/>
      <c r="I139" s="29"/>
      <c r="J139" s="29"/>
      <c r="K139" s="299">
        <v>772909.69</v>
      </c>
      <c r="L139" s="300"/>
      <c r="M139" s="300"/>
      <c r="N139" s="301">
        <f>P95</f>
        <v>106661920.30917808</v>
      </c>
      <c r="O139" s="302"/>
      <c r="P139" s="305"/>
      <c r="Q139" s="249">
        <f>K139</f>
        <v>772909.69</v>
      </c>
      <c r="R139" s="251"/>
      <c r="S139" s="6"/>
    </row>
    <row r="140" spans="2:19">
      <c r="B140" s="5"/>
      <c r="C140" s="98" t="s">
        <v>174</v>
      </c>
      <c r="D140" s="77"/>
      <c r="E140" s="77"/>
      <c r="F140" s="77"/>
      <c r="G140" s="77"/>
      <c r="H140" s="77"/>
      <c r="I140" s="77"/>
      <c r="J140" s="77"/>
      <c r="K140" s="289">
        <f>SUM(K141:L142)</f>
        <v>60077.849999999802</v>
      </c>
      <c r="L140" s="290"/>
      <c r="M140" s="290"/>
      <c r="N140" s="292">
        <f>N139-Q139</f>
        <v>105889010.61917809</v>
      </c>
      <c r="O140" s="303"/>
      <c r="P140" s="304"/>
      <c r="Q140" s="292">
        <f>SUM(Q141:Q142)</f>
        <v>60077.849999999802</v>
      </c>
      <c r="R140" s="293"/>
      <c r="S140" s="6"/>
    </row>
    <row r="141" spans="2:19">
      <c r="B141" s="5"/>
      <c r="C141" s="63" t="s">
        <v>175</v>
      </c>
      <c r="D141" s="33"/>
      <c r="E141" s="33"/>
      <c r="F141" s="33"/>
      <c r="G141" s="33"/>
      <c r="H141" s="33"/>
      <c r="I141" s="33"/>
      <c r="J141" s="33"/>
      <c r="K141" s="283">
        <v>50879.849999999802</v>
      </c>
      <c r="L141" s="284"/>
      <c r="M141" s="81"/>
      <c r="N141" s="285">
        <f>N140*K141/$K$140</f>
        <v>89677260.037637576</v>
      </c>
      <c r="O141" s="286"/>
      <c r="P141" s="133"/>
      <c r="Q141" s="83">
        <f>K141</f>
        <v>50879.849999999802</v>
      </c>
      <c r="R141" s="82"/>
      <c r="S141" s="6"/>
    </row>
    <row r="142" spans="2:19">
      <c r="B142" s="5"/>
      <c r="C142" s="63" t="s">
        <v>176</v>
      </c>
      <c r="D142" s="33"/>
      <c r="E142" s="33"/>
      <c r="F142" s="33"/>
      <c r="G142" s="33"/>
      <c r="H142" s="33"/>
      <c r="I142" s="33"/>
      <c r="J142" s="33"/>
      <c r="K142" s="283">
        <v>9198</v>
      </c>
      <c r="L142" s="284"/>
      <c r="M142" s="102"/>
      <c r="N142" s="301">
        <f>N140*K142/$K$140</f>
        <v>16211750.581540506</v>
      </c>
      <c r="O142" s="302"/>
      <c r="P142" s="134"/>
      <c r="Q142" s="85">
        <f>K142</f>
        <v>9198</v>
      </c>
      <c r="R142" s="135"/>
      <c r="S142" s="6"/>
    </row>
    <row r="143" spans="2:19">
      <c r="B143" s="5"/>
      <c r="C143" s="98" t="s">
        <v>177</v>
      </c>
      <c r="D143" s="77"/>
      <c r="E143" s="77"/>
      <c r="F143" s="77"/>
      <c r="G143" s="77"/>
      <c r="H143" s="77"/>
      <c r="I143" s="77"/>
      <c r="J143" s="77"/>
      <c r="K143" s="289">
        <f>SUM(K144:L145)</f>
        <v>302899.74</v>
      </c>
      <c r="L143" s="290"/>
      <c r="M143" s="290"/>
      <c r="N143" s="292">
        <f>N140-Q140</f>
        <v>105828932.76917809</v>
      </c>
      <c r="O143" s="303"/>
      <c r="P143" s="304"/>
      <c r="Q143" s="292">
        <f>SUM(Q144:Q145)</f>
        <v>302899.74</v>
      </c>
      <c r="R143" s="293"/>
      <c r="S143" s="6"/>
    </row>
    <row r="144" spans="2:19">
      <c r="B144" s="5"/>
      <c r="C144" s="63" t="s">
        <v>178</v>
      </c>
      <c r="D144" s="33"/>
      <c r="E144" s="33"/>
      <c r="F144" s="33"/>
      <c r="G144" s="33"/>
      <c r="H144" s="33"/>
      <c r="I144" s="33"/>
      <c r="J144" s="33"/>
      <c r="K144" s="283">
        <v>356</v>
      </c>
      <c r="L144" s="284"/>
      <c r="M144" s="81"/>
      <c r="N144" s="285">
        <f>$N$143*K144/$K$143</f>
        <v>124381.42094749703</v>
      </c>
      <c r="O144" s="286"/>
      <c r="P144" s="133"/>
      <c r="Q144" s="83">
        <f>K144</f>
        <v>356</v>
      </c>
      <c r="R144" s="82"/>
      <c r="S144" s="6"/>
    </row>
    <row r="145" spans="2:19">
      <c r="B145" s="5"/>
      <c r="C145" s="63" t="s">
        <v>179</v>
      </c>
      <c r="D145" s="33"/>
      <c r="E145" s="33"/>
      <c r="F145" s="33"/>
      <c r="G145" s="33"/>
      <c r="H145" s="33"/>
      <c r="I145" s="33"/>
      <c r="J145" s="33"/>
      <c r="K145" s="295">
        <v>302543.74</v>
      </c>
      <c r="L145" s="296"/>
      <c r="M145" s="81"/>
      <c r="N145" s="301">
        <f>IFERROR($N$143*K145/$K$143,0)</f>
        <v>105704551.3482306</v>
      </c>
      <c r="O145" s="302"/>
      <c r="P145" s="134"/>
      <c r="Q145" s="85">
        <f>K145</f>
        <v>302543.74</v>
      </c>
      <c r="R145" s="135"/>
      <c r="S145" s="6"/>
    </row>
    <row r="146" spans="2:19">
      <c r="B146" s="5"/>
      <c r="C146" s="98" t="s">
        <v>180</v>
      </c>
      <c r="D146" s="77"/>
      <c r="E146" s="77"/>
      <c r="F146" s="77"/>
      <c r="G146" s="77"/>
      <c r="H146" s="77"/>
      <c r="I146" s="77"/>
      <c r="J146" s="77"/>
      <c r="K146" s="289">
        <f>SUM(K147:L149)</f>
        <v>5415142.9009425025</v>
      </c>
      <c r="L146" s="290"/>
      <c r="M146" s="297"/>
      <c r="N146" s="292">
        <f>N143-Q143</f>
        <v>105526033.0291781</v>
      </c>
      <c r="O146" s="303"/>
      <c r="P146" s="304"/>
      <c r="Q146" s="292">
        <f>SUM(Q147:Q149)</f>
        <v>5415142.9009425025</v>
      </c>
      <c r="R146" s="293"/>
      <c r="S146" s="6"/>
    </row>
    <row r="147" spans="2:19">
      <c r="B147" s="5"/>
      <c r="C147" s="63" t="s">
        <v>181</v>
      </c>
      <c r="D147" s="33"/>
      <c r="E147" s="33"/>
      <c r="F147" s="33"/>
      <c r="G147" s="33"/>
      <c r="H147" s="33"/>
      <c r="I147" s="33"/>
      <c r="J147" s="33"/>
      <c r="K147" s="283">
        <v>4436238.2243781397</v>
      </c>
      <c r="L147" s="284"/>
      <c r="M147" s="136"/>
      <c r="N147" s="285">
        <f>$N$146*K147/$K$146</f>
        <v>86449910.917318672</v>
      </c>
      <c r="O147" s="286"/>
      <c r="P147" s="133"/>
      <c r="Q147" s="83">
        <f>K147</f>
        <v>4436238.2243781397</v>
      </c>
      <c r="R147" s="82"/>
      <c r="S147" s="6"/>
    </row>
    <row r="148" spans="2:19">
      <c r="B148" s="5"/>
      <c r="C148" s="63" t="s">
        <v>182</v>
      </c>
      <c r="D148" s="33"/>
      <c r="E148" s="33"/>
      <c r="F148" s="33"/>
      <c r="G148" s="33"/>
      <c r="H148" s="33"/>
      <c r="I148" s="33"/>
      <c r="J148" s="33"/>
      <c r="K148" s="283">
        <f>150000*1.15</f>
        <v>172500</v>
      </c>
      <c r="L148" s="284"/>
      <c r="M148" s="136"/>
      <c r="N148" s="285">
        <f>$N$146*K148/$K$146</f>
        <v>3361543.9205426988</v>
      </c>
      <c r="O148" s="286"/>
      <c r="P148" s="133"/>
      <c r="Q148" s="83">
        <f>K148</f>
        <v>172500</v>
      </c>
      <c r="R148" s="82"/>
      <c r="S148" s="6"/>
    </row>
    <row r="149" spans="2:19">
      <c r="B149" s="5"/>
      <c r="C149" s="63" t="s">
        <v>183</v>
      </c>
      <c r="D149" s="33"/>
      <c r="E149" s="33"/>
      <c r="F149" s="33"/>
      <c r="G149" s="33"/>
      <c r="H149" s="33"/>
      <c r="I149" s="33"/>
      <c r="J149" s="33"/>
      <c r="K149" s="299">
        <v>806404.67656436318</v>
      </c>
      <c r="L149" s="300"/>
      <c r="M149" s="137"/>
      <c r="N149" s="301">
        <f>$N$146*K149/$K$146</f>
        <v>15714578.191316731</v>
      </c>
      <c r="O149" s="302"/>
      <c r="P149" s="134"/>
      <c r="Q149" s="85">
        <f>K149</f>
        <v>806404.67656436318</v>
      </c>
      <c r="R149" s="138"/>
      <c r="S149" s="6"/>
    </row>
    <row r="150" spans="2:19">
      <c r="B150" s="5"/>
      <c r="C150" s="119" t="s">
        <v>184</v>
      </c>
      <c r="D150" s="29"/>
      <c r="E150" s="29"/>
      <c r="F150" s="29"/>
      <c r="G150" s="29"/>
      <c r="H150" s="29"/>
      <c r="I150" s="29"/>
      <c r="J150" s="29"/>
      <c r="K150" s="289">
        <v>51365.37</v>
      </c>
      <c r="L150" s="290"/>
      <c r="M150" s="290"/>
      <c r="N150" s="249">
        <f>N146-Q146</f>
        <v>100110890.12823559</v>
      </c>
      <c r="O150" s="250"/>
      <c r="P150" s="298"/>
      <c r="Q150" s="249">
        <f>K150</f>
        <v>51365.37</v>
      </c>
      <c r="R150" s="251"/>
      <c r="S150" s="6"/>
    </row>
    <row r="151" spans="2:19">
      <c r="B151" s="5"/>
      <c r="C151" s="98" t="s">
        <v>185</v>
      </c>
      <c r="D151" s="77"/>
      <c r="E151" s="77"/>
      <c r="F151" s="77"/>
      <c r="G151" s="77"/>
      <c r="H151" s="77"/>
      <c r="I151" s="77"/>
      <c r="J151" s="77"/>
      <c r="K151" s="289">
        <v>0</v>
      </c>
      <c r="L151" s="290"/>
      <c r="M151" s="290"/>
      <c r="N151" s="249">
        <f>N150-Q150</f>
        <v>100059524.75823559</v>
      </c>
      <c r="O151" s="250"/>
      <c r="P151" s="298"/>
      <c r="Q151" s="249">
        <f>K151</f>
        <v>0</v>
      </c>
      <c r="R151" s="251"/>
      <c r="S151" s="6"/>
    </row>
    <row r="152" spans="2:19">
      <c r="B152" s="5"/>
      <c r="C152" s="98" t="s">
        <v>186</v>
      </c>
      <c r="D152" s="77"/>
      <c r="E152" s="77"/>
      <c r="F152" s="77"/>
      <c r="G152" s="77"/>
      <c r="H152" s="77"/>
      <c r="I152" s="77"/>
      <c r="J152" s="77"/>
      <c r="K152" s="289">
        <f>SUM(K153:L155)</f>
        <v>25535371.036675345</v>
      </c>
      <c r="L152" s="290"/>
      <c r="M152" s="297"/>
      <c r="N152" s="285">
        <f>N151-Q151</f>
        <v>100059524.75823559</v>
      </c>
      <c r="O152" s="286"/>
      <c r="P152" s="291"/>
      <c r="Q152" s="292">
        <f>SUM(Q153:Q155)</f>
        <v>25535371.036675345</v>
      </c>
      <c r="R152" s="293"/>
      <c r="S152" s="6"/>
    </row>
    <row r="153" spans="2:19">
      <c r="B153" s="5"/>
      <c r="C153" s="63" t="s">
        <v>187</v>
      </c>
      <c r="D153" s="33"/>
      <c r="E153" s="33"/>
      <c r="F153" s="33"/>
      <c r="G153" s="33"/>
      <c r="H153" s="33"/>
      <c r="I153" s="33"/>
      <c r="J153" s="33"/>
      <c r="K153" s="283">
        <f>G36+H36+I36</f>
        <v>5669351.858593151</v>
      </c>
      <c r="L153" s="284"/>
      <c r="M153" s="136"/>
      <c r="N153" s="285">
        <f>$N$152*K153/$K$152</f>
        <v>22215171.725654632</v>
      </c>
      <c r="O153" s="286"/>
      <c r="P153" s="139"/>
      <c r="Q153" s="83">
        <f t="shared" ref="Q153:Q161" si="20">K153</f>
        <v>5669351.858593151</v>
      </c>
      <c r="R153" s="82"/>
      <c r="S153" s="6"/>
    </row>
    <row r="154" spans="2:19">
      <c r="B154" s="5"/>
      <c r="C154" s="63" t="s">
        <v>188</v>
      </c>
      <c r="D154" s="33"/>
      <c r="E154" s="33"/>
      <c r="F154" s="33"/>
      <c r="G154" s="33"/>
      <c r="H154" s="33"/>
      <c r="I154" s="33"/>
      <c r="J154" s="33"/>
      <c r="K154" s="283">
        <f>J36+K36+L36</f>
        <v>17308671.232876714</v>
      </c>
      <c r="L154" s="284"/>
      <c r="M154" s="136"/>
      <c r="N154" s="285">
        <f>$N$152*K154/$K$152</f>
        <v>67823467.897558197</v>
      </c>
      <c r="O154" s="286"/>
      <c r="P154" s="139"/>
      <c r="Q154" s="83">
        <f t="shared" si="20"/>
        <v>17308671.232876714</v>
      </c>
      <c r="R154" s="82"/>
      <c r="S154" s="6"/>
    </row>
    <row r="155" spans="2:19">
      <c r="B155" s="5"/>
      <c r="C155" s="90" t="s">
        <v>189</v>
      </c>
      <c r="D155" s="91"/>
      <c r="E155" s="91"/>
      <c r="F155" s="91"/>
      <c r="G155" s="91"/>
      <c r="H155" s="91"/>
      <c r="I155" s="91"/>
      <c r="J155" s="91"/>
      <c r="K155" s="295">
        <f>M36</f>
        <v>2557347.9452054794</v>
      </c>
      <c r="L155" s="296"/>
      <c r="M155" s="137"/>
      <c r="N155" s="285">
        <f>$N$152*K155/$K$152</f>
        <v>10020885.135022756</v>
      </c>
      <c r="O155" s="286"/>
      <c r="P155" s="139"/>
      <c r="Q155" s="85">
        <f t="shared" si="20"/>
        <v>2557347.9452054794</v>
      </c>
      <c r="R155" s="138"/>
      <c r="S155" s="6"/>
    </row>
    <row r="156" spans="2:19">
      <c r="B156" s="5"/>
      <c r="C156" s="119" t="s">
        <v>190</v>
      </c>
      <c r="D156" s="29"/>
      <c r="E156" s="29"/>
      <c r="F156" s="29"/>
      <c r="G156" s="29"/>
      <c r="H156" s="29"/>
      <c r="I156" s="29"/>
      <c r="J156" s="29"/>
      <c r="K156" s="289">
        <f>N36+O36</f>
        <v>4703028.2191780824</v>
      </c>
      <c r="L156" s="290"/>
      <c r="M156" s="290"/>
      <c r="N156" s="294">
        <f>N152-Q152</f>
        <v>74524153.72156024</v>
      </c>
      <c r="O156" s="294"/>
      <c r="P156" s="294"/>
      <c r="Q156" s="249">
        <f t="shared" si="20"/>
        <v>4703028.2191780824</v>
      </c>
      <c r="R156" s="251"/>
      <c r="S156" s="6"/>
    </row>
    <row r="157" spans="2:19">
      <c r="B157" s="5"/>
      <c r="C157" s="119" t="s">
        <v>191</v>
      </c>
      <c r="D157" s="29"/>
      <c r="E157" s="29"/>
      <c r="F157" s="29"/>
      <c r="G157" s="29"/>
      <c r="H157" s="29"/>
      <c r="I157" s="29"/>
      <c r="J157" s="29"/>
      <c r="K157" s="289">
        <f>P36+R36+Q36</f>
        <v>1510195.8904109588</v>
      </c>
      <c r="L157" s="290"/>
      <c r="M157" s="290"/>
      <c r="N157" s="294">
        <f>N156-Q156</f>
        <v>69821125.502382159</v>
      </c>
      <c r="O157" s="294"/>
      <c r="P157" s="294"/>
      <c r="Q157" s="249">
        <f t="shared" si="20"/>
        <v>1510195.8904109588</v>
      </c>
      <c r="R157" s="251"/>
      <c r="S157" s="6"/>
    </row>
    <row r="158" spans="2:19">
      <c r="B158" s="5"/>
      <c r="C158" s="119" t="s">
        <v>192</v>
      </c>
      <c r="D158" s="29"/>
      <c r="E158" s="29"/>
      <c r="F158" s="29"/>
      <c r="G158" s="29"/>
      <c r="H158" s="29"/>
      <c r="I158" s="29"/>
      <c r="J158" s="29"/>
      <c r="K158" s="289">
        <v>0</v>
      </c>
      <c r="L158" s="290"/>
      <c r="M158" s="290"/>
      <c r="N158" s="294">
        <f>N157-Q157</f>
        <v>68310929.6119712</v>
      </c>
      <c r="O158" s="294"/>
      <c r="P158" s="294"/>
      <c r="Q158" s="249">
        <f t="shared" si="20"/>
        <v>0</v>
      </c>
      <c r="R158" s="251"/>
      <c r="S158" s="6"/>
    </row>
    <row r="159" spans="2:19">
      <c r="B159" s="5"/>
      <c r="C159" s="119" t="s">
        <v>193</v>
      </c>
      <c r="D159" s="29"/>
      <c r="E159" s="29"/>
      <c r="F159" s="29"/>
      <c r="G159" s="29"/>
      <c r="H159" s="29"/>
      <c r="I159" s="29"/>
      <c r="J159" s="29"/>
      <c r="K159" s="289">
        <v>0</v>
      </c>
      <c r="L159" s="290"/>
      <c r="M159" s="290"/>
      <c r="N159" s="294">
        <f>N158-Q158</f>
        <v>68310929.6119712</v>
      </c>
      <c r="O159" s="294"/>
      <c r="P159" s="294"/>
      <c r="Q159" s="249">
        <f t="shared" si="20"/>
        <v>0</v>
      </c>
      <c r="R159" s="251"/>
      <c r="S159" s="6"/>
    </row>
    <row r="160" spans="2:19">
      <c r="B160" s="5"/>
      <c r="C160" s="119" t="s">
        <v>194</v>
      </c>
      <c r="D160" s="29"/>
      <c r="E160" s="29"/>
      <c r="F160" s="29"/>
      <c r="G160" s="29"/>
      <c r="H160" s="29"/>
      <c r="I160" s="29"/>
      <c r="J160" s="29"/>
      <c r="K160" s="289">
        <v>0</v>
      </c>
      <c r="L160" s="290"/>
      <c r="M160" s="290"/>
      <c r="N160" s="294">
        <f>N159-Q159</f>
        <v>68310929.6119712</v>
      </c>
      <c r="O160" s="294"/>
      <c r="P160" s="294"/>
      <c r="Q160" s="249">
        <f t="shared" si="20"/>
        <v>0</v>
      </c>
      <c r="R160" s="251"/>
      <c r="S160" s="6"/>
    </row>
    <row r="161" spans="2:19">
      <c r="B161" s="5"/>
      <c r="C161" s="119" t="s">
        <v>195</v>
      </c>
      <c r="D161" s="29"/>
      <c r="E161" s="29"/>
      <c r="F161" s="29"/>
      <c r="G161" s="29"/>
      <c r="H161" s="29"/>
      <c r="I161" s="29"/>
      <c r="J161" s="29"/>
      <c r="K161" s="289">
        <f>O204</f>
        <v>0</v>
      </c>
      <c r="L161" s="290"/>
      <c r="M161" s="290"/>
      <c r="N161" s="294">
        <f>N157-Q157</f>
        <v>68310929.6119712</v>
      </c>
      <c r="O161" s="294"/>
      <c r="P161" s="294"/>
      <c r="Q161" s="249">
        <f t="shared" si="20"/>
        <v>0</v>
      </c>
      <c r="R161" s="251"/>
      <c r="S161" s="6"/>
    </row>
    <row r="162" spans="2:19">
      <c r="B162" s="5"/>
      <c r="C162" s="98" t="s">
        <v>196</v>
      </c>
      <c r="D162" s="77"/>
      <c r="E162" s="77"/>
      <c r="F162" s="77"/>
      <c r="G162" s="77"/>
      <c r="H162" s="77"/>
      <c r="I162" s="77"/>
      <c r="J162" s="77"/>
      <c r="K162" s="289">
        <f>SUM(K163,K167:L168)</f>
        <v>27745041.603500001</v>
      </c>
      <c r="L162" s="290"/>
      <c r="M162" s="290"/>
      <c r="N162" s="285">
        <f>N161-Q161</f>
        <v>68310929.6119712</v>
      </c>
      <c r="O162" s="286"/>
      <c r="P162" s="291"/>
      <c r="Q162" s="292">
        <f>SUM(Q163,O167:P168)</f>
        <v>27745041.603500001</v>
      </c>
      <c r="R162" s="293"/>
      <c r="S162" s="6"/>
    </row>
    <row r="163" spans="2:19">
      <c r="B163" s="5"/>
      <c r="C163" s="63" t="s">
        <v>197</v>
      </c>
      <c r="D163" s="33"/>
      <c r="E163" s="33"/>
      <c r="F163" s="33"/>
      <c r="G163" s="33"/>
      <c r="H163" s="33"/>
      <c r="I163" s="33"/>
      <c r="J163" s="33"/>
      <c r="K163" s="283">
        <f>SUM(K164:L166)</f>
        <v>27745041.603500001</v>
      </c>
      <c r="L163" s="284"/>
      <c r="M163" s="140"/>
      <c r="N163" s="285">
        <f>K163/$K$162*N162</f>
        <v>68310929.6119712</v>
      </c>
      <c r="O163" s="286"/>
      <c r="P163" s="139"/>
      <c r="Q163" s="83">
        <f t="shared" ref="Q163:Q170" si="21">K163</f>
        <v>27745041.603500001</v>
      </c>
      <c r="R163" s="141"/>
      <c r="S163" s="6"/>
    </row>
    <row r="164" spans="2:19">
      <c r="B164" s="5"/>
      <c r="C164" s="94" t="s">
        <v>198</v>
      </c>
      <c r="D164" s="33"/>
      <c r="E164" s="33"/>
      <c r="F164" s="33"/>
      <c r="G164" s="33"/>
      <c r="H164" s="33"/>
      <c r="I164" s="33"/>
      <c r="J164" s="33"/>
      <c r="K164" s="283">
        <f>P102</f>
        <v>27745041.603500001</v>
      </c>
      <c r="L164" s="284"/>
      <c r="M164" s="140"/>
      <c r="N164" s="285">
        <f>K164/$K$162*N162</f>
        <v>68310929.6119712</v>
      </c>
      <c r="O164" s="286"/>
      <c r="P164" s="139"/>
      <c r="Q164" s="83">
        <f t="shared" si="21"/>
        <v>27745041.603500001</v>
      </c>
      <c r="R164" s="141"/>
      <c r="S164" s="6"/>
    </row>
    <row r="165" spans="2:19">
      <c r="B165" s="5"/>
      <c r="C165" s="94" t="s">
        <v>199</v>
      </c>
      <c r="D165" s="33"/>
      <c r="E165" s="33"/>
      <c r="F165" s="33"/>
      <c r="G165" s="33"/>
      <c r="H165" s="33"/>
      <c r="I165" s="33"/>
      <c r="J165" s="33"/>
      <c r="K165" s="283">
        <v>0</v>
      </c>
      <c r="L165" s="284"/>
      <c r="M165" s="140"/>
      <c r="N165" s="285">
        <f>K165/$K$162*N162</f>
        <v>0</v>
      </c>
      <c r="O165" s="286"/>
      <c r="P165" s="139"/>
      <c r="Q165" s="83">
        <f t="shared" si="21"/>
        <v>0</v>
      </c>
      <c r="R165" s="141"/>
      <c r="S165" s="6"/>
    </row>
    <row r="166" spans="2:19">
      <c r="B166" s="5"/>
      <c r="C166" s="94" t="s">
        <v>26</v>
      </c>
      <c r="D166" s="33"/>
      <c r="E166" s="33"/>
      <c r="F166" s="33"/>
      <c r="G166" s="33"/>
      <c r="H166" s="33"/>
      <c r="I166" s="33"/>
      <c r="J166" s="33"/>
      <c r="K166" s="283">
        <v>0</v>
      </c>
      <c r="L166" s="284"/>
      <c r="M166" s="140"/>
      <c r="N166" s="285">
        <f>K166/$K$162*N162</f>
        <v>0</v>
      </c>
      <c r="O166" s="286"/>
      <c r="P166" s="139"/>
      <c r="Q166" s="83">
        <f t="shared" si="21"/>
        <v>0</v>
      </c>
      <c r="R166" s="141"/>
      <c r="S166" s="6"/>
    </row>
    <row r="167" spans="2:19">
      <c r="B167" s="5"/>
      <c r="C167" s="63" t="s">
        <v>200</v>
      </c>
      <c r="D167" s="33"/>
      <c r="E167" s="33"/>
      <c r="F167" s="33"/>
      <c r="G167" s="33"/>
      <c r="H167" s="33"/>
      <c r="I167" s="33"/>
      <c r="J167" s="33"/>
      <c r="K167" s="283">
        <v>0</v>
      </c>
      <c r="L167" s="284"/>
      <c r="M167" s="140"/>
      <c r="N167" s="285">
        <f>K167/$K$162*N162</f>
        <v>0</v>
      </c>
      <c r="O167" s="286"/>
      <c r="P167" s="139"/>
      <c r="Q167" s="83">
        <f t="shared" si="21"/>
        <v>0</v>
      </c>
      <c r="R167" s="141"/>
      <c r="S167" s="6"/>
    </row>
    <row r="168" spans="2:19">
      <c r="B168" s="5"/>
      <c r="C168" s="90" t="s">
        <v>201</v>
      </c>
      <c r="D168" s="91"/>
      <c r="E168" s="91"/>
      <c r="F168" s="91"/>
      <c r="G168" s="91"/>
      <c r="H168" s="91"/>
      <c r="I168" s="91"/>
      <c r="J168" s="91"/>
      <c r="K168" s="283">
        <v>0</v>
      </c>
      <c r="L168" s="284"/>
      <c r="M168" s="137"/>
      <c r="N168" s="285">
        <f>K168/$K$162*N162</f>
        <v>0</v>
      </c>
      <c r="O168" s="286"/>
      <c r="P168" s="139"/>
      <c r="Q168" s="83">
        <f t="shared" si="21"/>
        <v>0</v>
      </c>
      <c r="R168" s="138"/>
      <c r="S168" s="6"/>
    </row>
    <row r="169" spans="2:19">
      <c r="B169" s="5"/>
      <c r="C169" s="119" t="s">
        <v>202</v>
      </c>
      <c r="D169" s="29"/>
      <c r="E169" s="29"/>
      <c r="F169" s="29"/>
      <c r="G169" s="29"/>
      <c r="H169" s="29"/>
      <c r="I169" s="29"/>
      <c r="J169" s="29"/>
      <c r="K169" s="267">
        <f>O195</f>
        <v>33057621.237</v>
      </c>
      <c r="L169" s="268"/>
      <c r="M169" s="268"/>
      <c r="N169" s="287">
        <f>N162-Q162</f>
        <v>40565888.008471198</v>
      </c>
      <c r="O169" s="287"/>
      <c r="P169" s="287"/>
      <c r="Q169" s="269">
        <f t="shared" si="21"/>
        <v>33057621.237</v>
      </c>
      <c r="R169" s="272"/>
      <c r="S169" s="6"/>
    </row>
    <row r="170" spans="2:19">
      <c r="B170" s="5"/>
      <c r="C170" s="119" t="s">
        <v>203</v>
      </c>
      <c r="D170" s="29"/>
      <c r="E170" s="29"/>
      <c r="F170" s="29"/>
      <c r="G170" s="29"/>
      <c r="H170" s="29"/>
      <c r="I170" s="29"/>
      <c r="J170" s="29"/>
      <c r="K170" s="267">
        <v>0</v>
      </c>
      <c r="L170" s="268"/>
      <c r="M170" s="268"/>
      <c r="N170" s="288">
        <f>N169-Q169</f>
        <v>7508266.7714711986</v>
      </c>
      <c r="O170" s="288"/>
      <c r="P170" s="288"/>
      <c r="Q170" s="269">
        <f t="shared" si="21"/>
        <v>0</v>
      </c>
      <c r="R170" s="272"/>
      <c r="S170" s="6"/>
    </row>
    <row r="171" spans="2:19">
      <c r="B171" s="5"/>
      <c r="C171" s="98" t="s">
        <v>204</v>
      </c>
      <c r="D171" s="77"/>
      <c r="E171" s="77"/>
      <c r="F171" s="77"/>
      <c r="G171" s="77"/>
      <c r="H171" s="77"/>
      <c r="I171" s="77"/>
      <c r="J171" s="77"/>
      <c r="K171" s="267">
        <f>SUM(K172:L173)</f>
        <v>0</v>
      </c>
      <c r="L171" s="268"/>
      <c r="M171" s="268"/>
      <c r="N171" s="277">
        <f>N170-Q170</f>
        <v>7508266.7714711986</v>
      </c>
      <c r="O171" s="279"/>
      <c r="P171" s="280"/>
      <c r="Q171" s="279">
        <f>SUM(O172:P173)</f>
        <v>0</v>
      </c>
      <c r="R171" s="278"/>
      <c r="S171" s="6"/>
    </row>
    <row r="172" spans="2:19">
      <c r="B172" s="5"/>
      <c r="C172" s="63" t="s">
        <v>200</v>
      </c>
      <c r="D172" s="33"/>
      <c r="E172" s="33"/>
      <c r="F172" s="33"/>
      <c r="G172" s="33"/>
      <c r="H172" s="33"/>
      <c r="I172" s="33"/>
      <c r="J172" s="33"/>
      <c r="K172" s="263">
        <v>0</v>
      </c>
      <c r="L172" s="264"/>
      <c r="M172" s="142"/>
      <c r="N172" s="265">
        <f>IFERROR(K172/$K$171*$N$171,0)</f>
        <v>0</v>
      </c>
      <c r="O172" s="266"/>
      <c r="P172" s="143"/>
      <c r="Q172" s="144">
        <f>K172</f>
        <v>0</v>
      </c>
      <c r="R172" s="145"/>
      <c r="S172" s="6"/>
    </row>
    <row r="173" spans="2:19">
      <c r="B173" s="5"/>
      <c r="C173" s="90" t="s">
        <v>201</v>
      </c>
      <c r="D173" s="91"/>
      <c r="E173" s="91"/>
      <c r="F173" s="91"/>
      <c r="G173" s="91"/>
      <c r="H173" s="91"/>
      <c r="I173" s="91"/>
      <c r="J173" s="91"/>
      <c r="K173" s="263">
        <v>0</v>
      </c>
      <c r="L173" s="264"/>
      <c r="M173" s="142"/>
      <c r="N173" s="281">
        <f>IFERROR(K173/$K$171*$N$171,0)</f>
        <v>0</v>
      </c>
      <c r="O173" s="282"/>
      <c r="P173" s="146"/>
      <c r="Q173" s="144">
        <f>K173</f>
        <v>0</v>
      </c>
      <c r="R173" s="145"/>
      <c r="S173" s="6"/>
    </row>
    <row r="174" spans="2:19">
      <c r="B174" s="5"/>
      <c r="C174" s="119" t="s">
        <v>205</v>
      </c>
      <c r="D174" s="91"/>
      <c r="E174" s="91"/>
      <c r="F174" s="91"/>
      <c r="G174" s="91"/>
      <c r="H174" s="91"/>
      <c r="I174" s="91"/>
      <c r="J174" s="91"/>
      <c r="K174" s="267">
        <v>0</v>
      </c>
      <c r="L174" s="268"/>
      <c r="M174" s="268"/>
      <c r="N174" s="277">
        <f>N171-Q171</f>
        <v>7508266.7714711986</v>
      </c>
      <c r="O174" s="279"/>
      <c r="P174" s="280"/>
      <c r="Q174" s="269">
        <f>K174</f>
        <v>0</v>
      </c>
      <c r="R174" s="272"/>
      <c r="S174" s="6"/>
    </row>
    <row r="175" spans="2:19">
      <c r="B175" s="5"/>
      <c r="C175" s="119" t="s">
        <v>206</v>
      </c>
      <c r="D175" s="29"/>
      <c r="E175" s="29"/>
      <c r="F175" s="29"/>
      <c r="G175" s="29"/>
      <c r="H175" s="29"/>
      <c r="I175" s="29"/>
      <c r="J175" s="29"/>
      <c r="K175" s="267">
        <v>0</v>
      </c>
      <c r="L175" s="268"/>
      <c r="M175" s="268"/>
      <c r="N175" s="277">
        <f>N174-Q174</f>
        <v>7508266.7714711986</v>
      </c>
      <c r="O175" s="279"/>
      <c r="P175" s="280"/>
      <c r="Q175" s="269">
        <f>K175</f>
        <v>0</v>
      </c>
      <c r="R175" s="272"/>
      <c r="S175" s="6"/>
    </row>
    <row r="176" spans="2:19">
      <c r="B176" s="5"/>
      <c r="C176" s="98" t="s">
        <v>207</v>
      </c>
      <c r="D176" s="77"/>
      <c r="E176" s="77"/>
      <c r="F176" s="77"/>
      <c r="G176" s="77"/>
      <c r="H176" s="77"/>
      <c r="I176" s="77"/>
      <c r="J176" s="77"/>
      <c r="K176" s="267">
        <f>SUM(K177:M177)</f>
        <v>0</v>
      </c>
      <c r="L176" s="268"/>
      <c r="M176" s="268"/>
      <c r="N176" s="277">
        <f>N175-Q175</f>
        <v>7508266.7714711986</v>
      </c>
      <c r="O176" s="279"/>
      <c r="P176" s="280"/>
      <c r="Q176" s="279">
        <f>SUM(Q177)</f>
        <v>0</v>
      </c>
      <c r="R176" s="278"/>
      <c r="S176" s="6"/>
    </row>
    <row r="177" spans="2:19">
      <c r="B177" s="5"/>
      <c r="C177" s="90" t="s">
        <v>201</v>
      </c>
      <c r="D177" s="91"/>
      <c r="E177" s="91"/>
      <c r="F177" s="91"/>
      <c r="G177" s="91"/>
      <c r="H177" s="91"/>
      <c r="I177" s="91"/>
      <c r="J177" s="91"/>
      <c r="K177" s="263">
        <v>0</v>
      </c>
      <c r="L177" s="264"/>
      <c r="M177" s="142"/>
      <c r="N177" s="281">
        <f>N176</f>
        <v>7508266.7714711986</v>
      </c>
      <c r="O177" s="282"/>
      <c r="P177" s="146"/>
      <c r="Q177" s="144">
        <f>K177</f>
        <v>0</v>
      </c>
      <c r="R177" s="145"/>
      <c r="S177" s="6"/>
    </row>
    <row r="178" spans="2:19">
      <c r="B178" s="5"/>
      <c r="C178" s="119" t="s">
        <v>208</v>
      </c>
      <c r="D178" s="29"/>
      <c r="E178" s="29"/>
      <c r="F178" s="29"/>
      <c r="G178" s="29"/>
      <c r="H178" s="29"/>
      <c r="I178" s="29"/>
      <c r="J178" s="29"/>
      <c r="K178" s="267">
        <v>0</v>
      </c>
      <c r="L178" s="268"/>
      <c r="M178" s="268"/>
      <c r="N178" s="265">
        <f>N176-Q176</f>
        <v>7508266.7714711986</v>
      </c>
      <c r="O178" s="266"/>
      <c r="P178" s="276"/>
      <c r="Q178" s="269">
        <f>K178</f>
        <v>0</v>
      </c>
      <c r="R178" s="272"/>
      <c r="S178" s="6"/>
    </row>
    <row r="179" spans="2:19">
      <c r="B179" s="5"/>
      <c r="C179" s="119" t="s">
        <v>209</v>
      </c>
      <c r="D179" s="29"/>
      <c r="E179" s="29"/>
      <c r="F179" s="29"/>
      <c r="G179" s="29"/>
      <c r="H179" s="29"/>
      <c r="I179" s="29"/>
      <c r="J179" s="29"/>
      <c r="K179" s="267">
        <v>0</v>
      </c>
      <c r="L179" s="268"/>
      <c r="M179" s="268"/>
      <c r="N179" s="277">
        <f>N178-Q178</f>
        <v>7508266.7714711986</v>
      </c>
      <c r="O179" s="279"/>
      <c r="P179" s="280"/>
      <c r="Q179" s="269">
        <f>K179</f>
        <v>0</v>
      </c>
      <c r="R179" s="272"/>
      <c r="S179" s="6"/>
    </row>
    <row r="180" spans="2:19">
      <c r="B180" s="5"/>
      <c r="C180" s="119" t="s">
        <v>210</v>
      </c>
      <c r="D180" s="29"/>
      <c r="E180" s="29"/>
      <c r="F180" s="29"/>
      <c r="G180" s="29"/>
      <c r="H180" s="29"/>
      <c r="I180" s="29"/>
      <c r="J180" s="29"/>
      <c r="K180" s="267">
        <v>0</v>
      </c>
      <c r="L180" s="268"/>
      <c r="M180" s="268"/>
      <c r="N180" s="269">
        <f>N179-Q179</f>
        <v>7508266.7714711986</v>
      </c>
      <c r="O180" s="270"/>
      <c r="P180" s="271"/>
      <c r="Q180" s="269">
        <f>K180</f>
        <v>0</v>
      </c>
      <c r="R180" s="272"/>
      <c r="S180" s="6"/>
    </row>
    <row r="181" spans="2:19">
      <c r="B181" s="5"/>
      <c r="C181" s="98" t="s">
        <v>211</v>
      </c>
      <c r="D181" s="77"/>
      <c r="E181" s="77"/>
      <c r="F181" s="77"/>
      <c r="G181" s="77"/>
      <c r="H181" s="77"/>
      <c r="I181" s="77"/>
      <c r="J181" s="77"/>
      <c r="K181" s="267">
        <f>SUM(K182:L184)</f>
        <v>5771873.8326955903</v>
      </c>
      <c r="L181" s="268"/>
      <c r="M181" s="268"/>
      <c r="N181" s="265">
        <f>N180-Q180</f>
        <v>7508266.7714711986</v>
      </c>
      <c r="O181" s="266"/>
      <c r="P181" s="276"/>
      <c r="Q181" s="277">
        <f>SUM(Q182:Q184)</f>
        <v>5771873.8326955903</v>
      </c>
      <c r="R181" s="278"/>
      <c r="S181" s="6"/>
    </row>
    <row r="182" spans="2:19">
      <c r="B182" s="5"/>
      <c r="C182" s="63" t="s">
        <v>212</v>
      </c>
      <c r="D182" s="33"/>
      <c r="E182" s="33"/>
      <c r="F182" s="33"/>
      <c r="G182" s="33"/>
      <c r="H182" s="33"/>
      <c r="I182" s="33"/>
      <c r="J182" s="33"/>
      <c r="K182" s="263">
        <f>O215</f>
        <v>5771873.8326955903</v>
      </c>
      <c r="L182" s="264"/>
      <c r="M182" s="142"/>
      <c r="N182" s="265">
        <f>K182/$K$181*N181</f>
        <v>7508266.7714711986</v>
      </c>
      <c r="O182" s="266"/>
      <c r="P182" s="144"/>
      <c r="Q182" s="147">
        <f>K182</f>
        <v>5771873.8326955903</v>
      </c>
      <c r="R182" s="145"/>
      <c r="S182" s="6"/>
    </row>
    <row r="183" spans="2:19">
      <c r="B183" s="5"/>
      <c r="C183" s="63" t="s">
        <v>213</v>
      </c>
      <c r="D183" s="33"/>
      <c r="E183" s="33"/>
      <c r="F183" s="33"/>
      <c r="G183" s="33"/>
      <c r="H183" s="33"/>
      <c r="I183" s="33"/>
      <c r="J183" s="33"/>
      <c r="K183" s="263">
        <v>0</v>
      </c>
      <c r="L183" s="264"/>
      <c r="M183" s="142"/>
      <c r="N183" s="265">
        <f>K183/$K$181*N182</f>
        <v>0</v>
      </c>
      <c r="O183" s="266"/>
      <c r="P183" s="144"/>
      <c r="Q183" s="147">
        <f>K183</f>
        <v>0</v>
      </c>
      <c r="R183" s="145"/>
      <c r="S183" s="6"/>
    </row>
    <row r="184" spans="2:19">
      <c r="B184" s="5"/>
      <c r="C184" s="90" t="s">
        <v>214</v>
      </c>
      <c r="D184" s="91"/>
      <c r="E184" s="91"/>
      <c r="F184" s="91"/>
      <c r="G184" s="91"/>
      <c r="H184" s="91"/>
      <c r="I184" s="91"/>
      <c r="J184" s="91"/>
      <c r="K184" s="263">
        <v>0</v>
      </c>
      <c r="L184" s="264"/>
      <c r="M184" s="142"/>
      <c r="N184" s="265">
        <f>K184/$K$181*N181</f>
        <v>0</v>
      </c>
      <c r="O184" s="266"/>
      <c r="P184" s="144"/>
      <c r="Q184" s="147">
        <f>K184</f>
        <v>0</v>
      </c>
      <c r="R184" s="145"/>
      <c r="S184" s="6"/>
    </row>
    <row r="185" spans="2:19">
      <c r="B185" s="5"/>
      <c r="C185" s="119" t="s">
        <v>215</v>
      </c>
      <c r="D185" s="29"/>
      <c r="E185" s="29"/>
      <c r="F185" s="29"/>
      <c r="G185" s="29"/>
      <c r="H185" s="29"/>
      <c r="I185" s="29"/>
      <c r="J185" s="29"/>
      <c r="K185" s="267">
        <v>0</v>
      </c>
      <c r="L185" s="268"/>
      <c r="M185" s="268"/>
      <c r="N185" s="269">
        <f>N181-Q181</f>
        <v>1736392.9387756083</v>
      </c>
      <c r="O185" s="270"/>
      <c r="P185" s="271"/>
      <c r="Q185" s="269">
        <f>K185</f>
        <v>0</v>
      </c>
      <c r="R185" s="272"/>
      <c r="S185" s="6"/>
    </row>
    <row r="186" spans="2:19">
      <c r="B186" s="5"/>
      <c r="C186" s="119" t="s">
        <v>216</v>
      </c>
      <c r="D186" s="29"/>
      <c r="E186" s="29"/>
      <c r="F186" s="29"/>
      <c r="G186" s="29"/>
      <c r="H186" s="29"/>
      <c r="I186" s="29"/>
      <c r="J186" s="29"/>
      <c r="K186" s="273">
        <v>1736393</v>
      </c>
      <c r="L186" s="274"/>
      <c r="M186" s="275"/>
      <c r="N186" s="269">
        <f>N181-Q181</f>
        <v>1736392.9387756083</v>
      </c>
      <c r="O186" s="270"/>
      <c r="P186" s="271"/>
      <c r="Q186" s="269">
        <f>K186</f>
        <v>1736393</v>
      </c>
      <c r="R186" s="272"/>
      <c r="S186" s="6"/>
    </row>
    <row r="187" spans="2:19" ht="15.75" thickBot="1">
      <c r="B187" s="5"/>
      <c r="C187" s="148" t="s">
        <v>217</v>
      </c>
      <c r="D187" s="149"/>
      <c r="E187" s="150"/>
      <c r="F187" s="149"/>
      <c r="G187" s="149"/>
      <c r="H187" s="149"/>
      <c r="I187" s="149"/>
      <c r="J187" s="150"/>
      <c r="K187" s="255">
        <f>SUM(K139,K140,K143,K146,K150,K151,K152,K156:M162,K169:M171,K174:M176,K178:M181,K185:M186)</f>
        <v>106661920.37040249</v>
      </c>
      <c r="L187" s="256"/>
      <c r="M187" s="257"/>
      <c r="N187" s="255">
        <f>N139</f>
        <v>106661920.30917808</v>
      </c>
      <c r="O187" s="256"/>
      <c r="P187" s="257"/>
      <c r="Q187" s="258">
        <f>N187</f>
        <v>106661920.30917808</v>
      </c>
      <c r="R187" s="259"/>
      <c r="S187" s="6"/>
    </row>
    <row r="188" spans="2:19" ht="15.75" thickBot="1">
      <c r="B188" s="5"/>
      <c r="C188" s="108"/>
      <c r="D188" s="7"/>
      <c r="E188" s="7"/>
      <c r="F188" s="7"/>
      <c r="G188" s="7"/>
      <c r="H188" s="7"/>
      <c r="I188" s="7"/>
      <c r="J188" s="7"/>
      <c r="K188" s="7"/>
      <c r="L188" s="7"/>
      <c r="M188" s="7"/>
      <c r="N188" s="7"/>
      <c r="O188" s="7"/>
      <c r="P188" s="7"/>
      <c r="Q188" s="7"/>
      <c r="R188" s="7"/>
      <c r="S188" s="6"/>
    </row>
    <row r="189" spans="2:19">
      <c r="B189" s="5"/>
      <c r="C189" s="260" t="s">
        <v>218</v>
      </c>
      <c r="D189" s="261"/>
      <c r="E189" s="261"/>
      <c r="F189" s="261"/>
      <c r="G189" s="261"/>
      <c r="H189" s="261"/>
      <c r="I189" s="261"/>
      <c r="J189" s="261"/>
      <c r="K189" s="261"/>
      <c r="L189" s="261"/>
      <c r="M189" s="261"/>
      <c r="N189" s="261"/>
      <c r="O189" s="261"/>
      <c r="P189" s="261"/>
      <c r="Q189" s="261"/>
      <c r="R189" s="262"/>
      <c r="S189" s="6"/>
    </row>
    <row r="190" spans="2:19">
      <c r="B190" s="5"/>
      <c r="C190" s="119" t="s">
        <v>219</v>
      </c>
      <c r="D190" s="151"/>
      <c r="E190" s="151"/>
      <c r="F190" s="151"/>
      <c r="G190" s="151"/>
      <c r="H190" s="151"/>
      <c r="I190" s="151"/>
      <c r="J190" s="151"/>
      <c r="K190" s="151"/>
      <c r="L190" s="151"/>
      <c r="M190" s="151"/>
      <c r="N190" s="152"/>
      <c r="O190" s="250">
        <v>24669669.745499998</v>
      </c>
      <c r="P190" s="250"/>
      <c r="Q190" s="250"/>
      <c r="R190" s="251"/>
      <c r="S190" s="6"/>
    </row>
    <row r="191" spans="2:19">
      <c r="B191" s="5"/>
      <c r="C191" s="119" t="s">
        <v>220</v>
      </c>
      <c r="D191" s="21"/>
      <c r="E191" s="21"/>
      <c r="F191" s="21"/>
      <c r="G191" s="21"/>
      <c r="H191" s="21"/>
      <c r="I191" s="21"/>
      <c r="J191" s="21"/>
      <c r="K191" s="21"/>
      <c r="L191" s="21"/>
      <c r="M191" s="21"/>
      <c r="N191" s="23"/>
      <c r="O191" s="249">
        <f>O190</f>
        <v>24669669.745499998</v>
      </c>
      <c r="P191" s="250"/>
      <c r="Q191" s="250"/>
      <c r="R191" s="251"/>
      <c r="S191" s="6"/>
    </row>
    <row r="192" spans="2:19">
      <c r="B192" s="5"/>
      <c r="C192" s="22" t="s">
        <v>221</v>
      </c>
      <c r="D192" s="21"/>
      <c r="E192" s="21"/>
      <c r="F192" s="21"/>
      <c r="G192" s="21"/>
      <c r="H192" s="21"/>
      <c r="I192" s="21"/>
      <c r="J192" s="21"/>
      <c r="K192" s="21"/>
      <c r="L192" s="21"/>
      <c r="M192" s="21"/>
      <c r="N192" s="23"/>
      <c r="O192" s="249">
        <v>33057621.237</v>
      </c>
      <c r="P192" s="250"/>
      <c r="Q192" s="250"/>
      <c r="R192" s="251"/>
      <c r="S192" s="6"/>
    </row>
    <row r="193" spans="2:19">
      <c r="B193" s="5"/>
      <c r="C193" s="22" t="s">
        <v>222</v>
      </c>
      <c r="D193" s="21"/>
      <c r="E193" s="21"/>
      <c r="F193" s="21"/>
      <c r="G193" s="21"/>
      <c r="H193" s="21"/>
      <c r="I193" s="21"/>
      <c r="J193" s="21"/>
      <c r="K193" s="21"/>
      <c r="L193" s="21"/>
      <c r="M193" s="21"/>
      <c r="N193" s="23"/>
      <c r="O193" s="249">
        <f>O192</f>
        <v>33057621.237</v>
      </c>
      <c r="P193" s="250"/>
      <c r="Q193" s="250"/>
      <c r="R193" s="251"/>
      <c r="S193" s="6"/>
    </row>
    <row r="194" spans="2:19">
      <c r="B194" s="5"/>
      <c r="C194" s="22" t="s">
        <v>223</v>
      </c>
      <c r="D194" s="21"/>
      <c r="E194" s="21"/>
      <c r="F194" s="21"/>
      <c r="G194" s="21"/>
      <c r="H194" s="21"/>
      <c r="I194" s="21"/>
      <c r="J194" s="21"/>
      <c r="K194" s="21"/>
      <c r="L194" s="21"/>
      <c r="M194" s="21"/>
      <c r="N194" s="23"/>
      <c r="O194" s="249">
        <v>0</v>
      </c>
      <c r="P194" s="250"/>
      <c r="Q194" s="250"/>
      <c r="R194" s="251"/>
      <c r="S194" s="6"/>
    </row>
    <row r="195" spans="2:19" ht="15.75" thickBot="1">
      <c r="B195" s="5"/>
      <c r="C195" s="27" t="s">
        <v>224</v>
      </c>
      <c r="D195" s="28"/>
      <c r="E195" s="28"/>
      <c r="F195" s="28"/>
      <c r="G195" s="28"/>
      <c r="H195" s="28"/>
      <c r="I195" s="28"/>
      <c r="J195" s="28"/>
      <c r="K195" s="28"/>
      <c r="L195" s="28"/>
      <c r="M195" s="28"/>
      <c r="N195" s="121"/>
      <c r="O195" s="254">
        <f>O193</f>
        <v>33057621.237</v>
      </c>
      <c r="P195" s="252"/>
      <c r="Q195" s="252"/>
      <c r="R195" s="253"/>
      <c r="S195" s="6"/>
    </row>
    <row r="196" spans="2:19" ht="15.75" thickBot="1">
      <c r="B196" s="5"/>
      <c r="C196" s="7"/>
      <c r="D196" s="7"/>
      <c r="E196" s="7"/>
      <c r="F196" s="7"/>
      <c r="G196" s="7"/>
      <c r="H196" s="7"/>
      <c r="I196" s="7"/>
      <c r="J196" s="7"/>
      <c r="K196" s="7"/>
      <c r="L196" s="7"/>
      <c r="M196" s="7"/>
      <c r="N196" s="7"/>
      <c r="O196" s="7"/>
      <c r="P196" s="7"/>
      <c r="Q196" s="7"/>
      <c r="R196" s="7"/>
      <c r="S196" s="6"/>
    </row>
    <row r="197" spans="2:19">
      <c r="B197" s="5"/>
      <c r="C197" s="238" t="s">
        <v>225</v>
      </c>
      <c r="D197" s="239"/>
      <c r="E197" s="239"/>
      <c r="F197" s="239"/>
      <c r="G197" s="239"/>
      <c r="H197" s="239"/>
      <c r="I197" s="239"/>
      <c r="J197" s="239"/>
      <c r="K197" s="239"/>
      <c r="L197" s="239"/>
      <c r="M197" s="239"/>
      <c r="N197" s="239"/>
      <c r="O197" s="239"/>
      <c r="P197" s="239"/>
      <c r="Q197" s="239"/>
      <c r="R197" s="240"/>
      <c r="S197" s="6"/>
    </row>
    <row r="198" spans="2:19">
      <c r="B198" s="5"/>
      <c r="C198" s="119" t="s">
        <v>226</v>
      </c>
      <c r="D198" s="151"/>
      <c r="E198" s="151"/>
      <c r="F198" s="151"/>
      <c r="G198" s="151"/>
      <c r="H198" s="151"/>
      <c r="I198" s="151"/>
      <c r="J198" s="151"/>
      <c r="K198" s="151"/>
      <c r="L198" s="151"/>
      <c r="M198" s="151"/>
      <c r="N198" s="152"/>
      <c r="O198" s="250">
        <v>0</v>
      </c>
      <c r="P198" s="250"/>
      <c r="Q198" s="250"/>
      <c r="R198" s="251"/>
      <c r="S198" s="6"/>
    </row>
    <row r="199" spans="2:19">
      <c r="B199" s="5"/>
      <c r="C199" s="119" t="s">
        <v>227</v>
      </c>
      <c r="D199" s="151"/>
      <c r="E199" s="151"/>
      <c r="F199" s="151"/>
      <c r="G199" s="151"/>
      <c r="H199" s="151"/>
      <c r="I199" s="151"/>
      <c r="J199" s="151"/>
      <c r="K199" s="151"/>
      <c r="L199" s="151"/>
      <c r="M199" s="151"/>
      <c r="N199" s="152"/>
      <c r="O199" s="249">
        <v>0</v>
      </c>
      <c r="P199" s="250"/>
      <c r="Q199" s="250"/>
      <c r="R199" s="251"/>
      <c r="S199" s="6"/>
    </row>
    <row r="200" spans="2:19">
      <c r="B200" s="5"/>
      <c r="C200" s="119" t="s">
        <v>228</v>
      </c>
      <c r="D200" s="151"/>
      <c r="E200" s="151"/>
      <c r="F200" s="151"/>
      <c r="G200" s="151"/>
      <c r="H200" s="151"/>
      <c r="I200" s="151"/>
      <c r="J200" s="151"/>
      <c r="K200" s="151"/>
      <c r="L200" s="151"/>
      <c r="M200" s="151"/>
      <c r="N200" s="152"/>
      <c r="O200" s="249">
        <v>0</v>
      </c>
      <c r="P200" s="250"/>
      <c r="Q200" s="250"/>
      <c r="R200" s="251"/>
      <c r="S200" s="6"/>
    </row>
    <row r="201" spans="2:19">
      <c r="B201" s="5"/>
      <c r="C201" s="119" t="s">
        <v>229</v>
      </c>
      <c r="D201" s="151"/>
      <c r="E201" s="151"/>
      <c r="F201" s="151"/>
      <c r="G201" s="151"/>
      <c r="H201" s="151"/>
      <c r="I201" s="151"/>
      <c r="J201" s="151"/>
      <c r="K201" s="151"/>
      <c r="L201" s="151"/>
      <c r="M201" s="151"/>
      <c r="N201" s="152"/>
      <c r="O201" s="249">
        <f>O198+O199-O200</f>
        <v>0</v>
      </c>
      <c r="P201" s="250"/>
      <c r="Q201" s="250"/>
      <c r="R201" s="251"/>
      <c r="S201" s="6"/>
    </row>
    <row r="202" spans="2:19">
      <c r="B202" s="5"/>
      <c r="C202" s="119" t="s">
        <v>230</v>
      </c>
      <c r="D202" s="151"/>
      <c r="E202" s="151"/>
      <c r="F202" s="151"/>
      <c r="G202" s="151"/>
      <c r="H202" s="151"/>
      <c r="I202" s="151"/>
      <c r="J202" s="151"/>
      <c r="K202" s="151"/>
      <c r="L202" s="151"/>
      <c r="M202" s="151"/>
      <c r="N202" s="152"/>
      <c r="O202" s="249">
        <v>0</v>
      </c>
      <c r="P202" s="250"/>
      <c r="Q202" s="250"/>
      <c r="R202" s="251"/>
      <c r="S202" s="6"/>
    </row>
    <row r="203" spans="2:19">
      <c r="B203" s="5"/>
      <c r="C203" s="119" t="s">
        <v>231</v>
      </c>
      <c r="D203" s="151"/>
      <c r="E203" s="151"/>
      <c r="F203" s="151"/>
      <c r="G203" s="151"/>
      <c r="H203" s="151"/>
      <c r="I203" s="151"/>
      <c r="J203" s="151"/>
      <c r="K203" s="151"/>
      <c r="L203" s="151"/>
      <c r="M203" s="151"/>
      <c r="N203" s="152"/>
      <c r="O203" s="249">
        <v>0</v>
      </c>
      <c r="P203" s="250"/>
      <c r="Q203" s="250"/>
      <c r="R203" s="251"/>
      <c r="S203" s="6"/>
    </row>
    <row r="204" spans="2:19" ht="15.75" thickBot="1">
      <c r="B204" s="5"/>
      <c r="C204" s="153" t="s">
        <v>232</v>
      </c>
      <c r="D204" s="154"/>
      <c r="E204" s="154"/>
      <c r="F204" s="154"/>
      <c r="G204" s="154"/>
      <c r="H204" s="154"/>
      <c r="I204" s="154"/>
      <c r="J204" s="154"/>
      <c r="K204" s="154"/>
      <c r="L204" s="154"/>
      <c r="M204" s="154"/>
      <c r="N204" s="155"/>
      <c r="O204" s="252">
        <f>O201-O202+O203</f>
        <v>0</v>
      </c>
      <c r="P204" s="252"/>
      <c r="Q204" s="252"/>
      <c r="R204" s="253"/>
      <c r="S204" s="6"/>
    </row>
    <row r="205" spans="2:19" ht="15.75" thickBot="1">
      <c r="B205" s="5"/>
      <c r="C205" s="156"/>
      <c r="D205" s="157"/>
      <c r="E205" s="157"/>
      <c r="F205" s="157"/>
      <c r="G205" s="157"/>
      <c r="H205" s="157"/>
      <c r="I205" s="157"/>
      <c r="J205" s="157"/>
      <c r="K205" s="157"/>
      <c r="L205" s="157"/>
      <c r="M205" s="157"/>
      <c r="N205" s="158"/>
      <c r="O205" s="158"/>
      <c r="P205" s="158"/>
      <c r="Q205" s="158"/>
      <c r="R205" s="158"/>
      <c r="S205" s="6"/>
    </row>
    <row r="206" spans="2:19">
      <c r="B206" s="5"/>
      <c r="C206" s="238" t="s">
        <v>233</v>
      </c>
      <c r="D206" s="239"/>
      <c r="E206" s="239"/>
      <c r="F206" s="239"/>
      <c r="G206" s="239"/>
      <c r="H206" s="239"/>
      <c r="I206" s="239"/>
      <c r="J206" s="239"/>
      <c r="K206" s="239"/>
      <c r="L206" s="239"/>
      <c r="M206" s="239"/>
      <c r="N206" s="239"/>
      <c r="O206" s="239"/>
      <c r="P206" s="239"/>
      <c r="Q206" s="239"/>
      <c r="R206" s="240"/>
      <c r="S206" s="6"/>
    </row>
    <row r="207" spans="2:19">
      <c r="B207" s="5"/>
      <c r="C207" s="25" t="s">
        <v>234</v>
      </c>
      <c r="D207" s="21"/>
      <c r="E207" s="151"/>
      <c r="F207" s="151"/>
      <c r="G207" s="151"/>
      <c r="H207" s="151"/>
      <c r="I207" s="151"/>
      <c r="J207" s="151"/>
      <c r="K207" s="151"/>
      <c r="L207" s="151"/>
      <c r="M207" s="241">
        <f>10%</f>
        <v>0.1</v>
      </c>
      <c r="N207" s="242"/>
      <c r="O207" s="242"/>
      <c r="P207" s="242"/>
      <c r="Q207" s="242"/>
      <c r="R207" s="243"/>
      <c r="S207" s="6"/>
    </row>
    <row r="208" spans="2:19">
      <c r="B208" s="5"/>
      <c r="C208" s="22"/>
      <c r="D208" s="29"/>
      <c r="E208" s="29"/>
      <c r="F208" s="29"/>
      <c r="G208" s="29"/>
      <c r="H208" s="29"/>
      <c r="I208" s="29"/>
      <c r="J208" s="29"/>
      <c r="K208" s="244" t="s">
        <v>235</v>
      </c>
      <c r="L208" s="245"/>
      <c r="M208" s="246" t="s">
        <v>236</v>
      </c>
      <c r="N208" s="247"/>
      <c r="O208" s="246" t="s">
        <v>237</v>
      </c>
      <c r="P208" s="247"/>
      <c r="Q208" s="218" t="s">
        <v>238</v>
      </c>
      <c r="R208" s="248"/>
      <c r="S208" s="6"/>
    </row>
    <row r="209" spans="2:21">
      <c r="B209" s="5"/>
      <c r="C209" s="11" t="s">
        <v>239</v>
      </c>
      <c r="D209" s="33"/>
      <c r="E209" s="33"/>
      <c r="F209" s="33"/>
      <c r="G209" s="33"/>
      <c r="H209" s="33"/>
      <c r="I209" s="33"/>
      <c r="J209" s="33"/>
      <c r="K209" s="226">
        <f>J14</f>
        <v>44972</v>
      </c>
      <c r="L209" s="227"/>
      <c r="M209" s="228">
        <f>G29</f>
        <v>7.4499999999999997E-2</v>
      </c>
      <c r="N209" s="229"/>
      <c r="O209" s="211">
        <v>135651392.35271823</v>
      </c>
      <c r="P209" s="230"/>
      <c r="Q209" s="210">
        <f>O209</f>
        <v>135651392.35271823</v>
      </c>
      <c r="R209" s="212"/>
      <c r="S209" s="6"/>
    </row>
    <row r="210" spans="2:21">
      <c r="B210" s="5"/>
      <c r="C210" s="76" t="s">
        <v>240</v>
      </c>
      <c r="D210" s="161"/>
      <c r="E210" s="161"/>
      <c r="F210" s="161"/>
      <c r="G210" s="161"/>
      <c r="H210" s="161"/>
      <c r="I210" s="161"/>
      <c r="J210" s="161"/>
      <c r="K210" s="231"/>
      <c r="L210" s="232"/>
      <c r="M210" s="233"/>
      <c r="N210" s="234"/>
      <c r="O210" s="235">
        <f>SUM(O211:P213)</f>
        <v>0</v>
      </c>
      <c r="P210" s="235"/>
      <c r="Q210" s="236">
        <f>O210</f>
        <v>0</v>
      </c>
      <c r="R210" s="237"/>
      <c r="S210" s="6"/>
    </row>
    <row r="211" spans="2:21">
      <c r="B211" s="5"/>
      <c r="C211" s="63" t="s">
        <v>241</v>
      </c>
      <c r="D211" s="33"/>
      <c r="E211" s="33"/>
      <c r="F211" s="33"/>
      <c r="G211" s="33"/>
      <c r="H211" s="33"/>
      <c r="I211" s="33"/>
      <c r="J211" s="33"/>
      <c r="K211" s="219">
        <v>44909</v>
      </c>
      <c r="L211" s="220"/>
      <c r="M211" s="221">
        <f>I29</f>
        <v>7.4499999999999997E-2</v>
      </c>
      <c r="N211" s="222"/>
      <c r="O211" s="223">
        <f>Q62</f>
        <v>0</v>
      </c>
      <c r="P211" s="223"/>
      <c r="Q211" s="224">
        <f>O211</f>
        <v>0</v>
      </c>
      <c r="R211" s="225"/>
      <c r="S211" s="6"/>
    </row>
    <row r="212" spans="2:21">
      <c r="B212" s="5"/>
      <c r="C212" s="63" t="s">
        <v>242</v>
      </c>
      <c r="D212" s="33"/>
      <c r="E212" s="33"/>
      <c r="F212" s="33"/>
      <c r="G212" s="33"/>
      <c r="H212" s="33"/>
      <c r="I212" s="33"/>
      <c r="J212" s="33"/>
      <c r="K212" s="219"/>
      <c r="L212" s="220"/>
      <c r="M212" s="221"/>
      <c r="N212" s="222"/>
      <c r="O212" s="223"/>
      <c r="P212" s="223"/>
      <c r="Q212" s="162"/>
      <c r="R212" s="163"/>
      <c r="S212" s="6"/>
    </row>
    <row r="213" spans="2:21">
      <c r="B213" s="5"/>
      <c r="C213" s="63" t="s">
        <v>243</v>
      </c>
      <c r="D213" s="91"/>
      <c r="E213" s="91"/>
      <c r="F213" s="91"/>
      <c r="G213" s="91"/>
      <c r="H213" s="91"/>
      <c r="I213" s="91"/>
      <c r="J213" s="91"/>
      <c r="K213" s="213"/>
      <c r="L213" s="214"/>
      <c r="M213" s="215"/>
      <c r="N213" s="216"/>
      <c r="O213" s="217"/>
      <c r="P213" s="217"/>
      <c r="Q213" s="162"/>
      <c r="R213" s="163"/>
      <c r="S213" s="6"/>
    </row>
    <row r="214" spans="2:21">
      <c r="B214" s="5"/>
      <c r="C214" s="76" t="s">
        <v>244</v>
      </c>
      <c r="D214" s="161"/>
      <c r="E214" s="218"/>
      <c r="F214" s="218"/>
      <c r="G214" s="164"/>
      <c r="H214" s="164"/>
      <c r="I214" s="164"/>
      <c r="J214" s="164"/>
      <c r="K214" s="164"/>
      <c r="L214" s="164"/>
      <c r="M214" s="164"/>
      <c r="N214" s="165"/>
      <c r="O214" s="210">
        <f>Q209+Q210</f>
        <v>135651392.35271823</v>
      </c>
      <c r="P214" s="211"/>
      <c r="Q214" s="211"/>
      <c r="R214" s="212"/>
      <c r="S214" s="6"/>
    </row>
    <row r="215" spans="2:21">
      <c r="B215" s="5"/>
      <c r="C215" s="98" t="s">
        <v>245</v>
      </c>
      <c r="D215" s="110"/>
      <c r="E215" s="110"/>
      <c r="F215" s="110"/>
      <c r="G215" s="110"/>
      <c r="H215" s="110"/>
      <c r="I215" s="110"/>
      <c r="J215" s="110"/>
      <c r="K215" s="110"/>
      <c r="L215" s="110"/>
      <c r="M215" s="110"/>
      <c r="N215" s="111"/>
      <c r="O215" s="210">
        <f>O209*(M209+$M$207)*$J$16/365+O211*(M211+$M$207)*(J15-K211)/365</f>
        <v>5771873.8326955903</v>
      </c>
      <c r="P215" s="211"/>
      <c r="Q215" s="211"/>
      <c r="R215" s="212"/>
      <c r="S215" s="6"/>
      <c r="T215" s="166"/>
      <c r="U215" s="79"/>
    </row>
    <row r="216" spans="2:21">
      <c r="B216" s="5"/>
      <c r="C216" s="98" t="s">
        <v>246</v>
      </c>
      <c r="D216" s="110"/>
      <c r="E216" s="110"/>
      <c r="F216" s="110"/>
      <c r="G216" s="110"/>
      <c r="H216" s="110"/>
      <c r="I216" s="110"/>
      <c r="J216" s="110"/>
      <c r="K216" s="110"/>
      <c r="L216" s="110"/>
      <c r="M216" s="110"/>
      <c r="N216" s="111"/>
      <c r="O216" s="210">
        <v>0</v>
      </c>
      <c r="P216" s="211"/>
      <c r="Q216" s="211"/>
      <c r="R216" s="212"/>
      <c r="S216" s="6"/>
    </row>
    <row r="217" spans="2:21">
      <c r="B217" s="5"/>
      <c r="C217" s="119" t="s">
        <v>247</v>
      </c>
      <c r="D217" s="151"/>
      <c r="E217" s="151"/>
      <c r="F217" s="151"/>
      <c r="G217" s="151"/>
      <c r="H217" s="151"/>
      <c r="I217" s="151"/>
      <c r="J217" s="151"/>
      <c r="K217" s="151"/>
      <c r="L217" s="151"/>
      <c r="M217" s="151"/>
      <c r="N217" s="152"/>
      <c r="O217" s="210">
        <f>Q182</f>
        <v>5771873.8326955903</v>
      </c>
      <c r="P217" s="211"/>
      <c r="Q217" s="211"/>
      <c r="R217" s="212"/>
      <c r="S217" s="6"/>
    </row>
    <row r="218" spans="2:21">
      <c r="B218" s="5"/>
      <c r="C218" s="119" t="s">
        <v>248</v>
      </c>
      <c r="D218" s="151"/>
      <c r="E218" s="151"/>
      <c r="F218" s="151"/>
      <c r="G218" s="151"/>
      <c r="H218" s="151"/>
      <c r="I218" s="151"/>
      <c r="J218" s="151"/>
      <c r="K218" s="151"/>
      <c r="L218" s="151"/>
      <c r="M218" s="151"/>
      <c r="N218" s="152"/>
      <c r="O218" s="210">
        <f>O215-O217</f>
        <v>0</v>
      </c>
      <c r="P218" s="211"/>
      <c r="Q218" s="211"/>
      <c r="R218" s="212"/>
      <c r="S218" s="6"/>
    </row>
    <row r="219" spans="2:21">
      <c r="B219" s="5"/>
      <c r="C219" s="119" t="s">
        <v>249</v>
      </c>
      <c r="D219" s="151"/>
      <c r="E219" s="151"/>
      <c r="F219" s="151"/>
      <c r="G219" s="151"/>
      <c r="H219" s="151"/>
      <c r="I219" s="151"/>
      <c r="J219" s="151"/>
      <c r="K219" s="151"/>
      <c r="L219" s="151"/>
      <c r="M219" s="151"/>
      <c r="N219" s="152"/>
      <c r="O219" s="210">
        <f>K183</f>
        <v>0</v>
      </c>
      <c r="P219" s="211"/>
      <c r="Q219" s="211"/>
      <c r="R219" s="212"/>
      <c r="S219" s="6"/>
    </row>
    <row r="220" spans="2:21">
      <c r="B220" s="5"/>
      <c r="C220" s="119" t="s">
        <v>250</v>
      </c>
      <c r="D220" s="151"/>
      <c r="E220" s="151"/>
      <c r="F220" s="151"/>
      <c r="G220" s="151"/>
      <c r="H220" s="151"/>
      <c r="I220" s="151"/>
      <c r="J220" s="151"/>
      <c r="K220" s="151"/>
      <c r="L220" s="151"/>
      <c r="M220" s="151"/>
      <c r="N220" s="152"/>
      <c r="O220" s="210">
        <v>0</v>
      </c>
      <c r="P220" s="211"/>
      <c r="Q220" s="211"/>
      <c r="R220" s="212"/>
      <c r="S220" s="6"/>
    </row>
    <row r="221" spans="2:21" ht="15.75" thickBot="1">
      <c r="B221" s="5"/>
      <c r="C221" s="120" t="s">
        <v>251</v>
      </c>
      <c r="D221" s="167"/>
      <c r="E221" s="167"/>
      <c r="F221" s="167"/>
      <c r="G221" s="167"/>
      <c r="H221" s="167"/>
      <c r="I221" s="167"/>
      <c r="J221" s="167"/>
      <c r="K221" s="167"/>
      <c r="L221" s="167"/>
      <c r="M221" s="167"/>
      <c r="N221" s="168"/>
      <c r="O221" s="210">
        <f>O214+O218-O219</f>
        <v>135651392.35271823</v>
      </c>
      <c r="P221" s="211"/>
      <c r="Q221" s="211"/>
      <c r="R221" s="212"/>
      <c r="S221" s="6"/>
    </row>
    <row r="222" spans="2:21" ht="15.75" thickBot="1">
      <c r="B222" s="169"/>
      <c r="C222" s="170"/>
      <c r="D222" s="170"/>
      <c r="E222" s="170"/>
      <c r="F222" s="170"/>
      <c r="G222" s="170"/>
      <c r="H222" s="170"/>
      <c r="I222" s="170"/>
      <c r="J222" s="170"/>
      <c r="K222" s="170"/>
      <c r="L222" s="170"/>
      <c r="M222" s="170"/>
      <c r="N222" s="170"/>
      <c r="O222" s="170"/>
      <c r="P222" s="170"/>
      <c r="Q222" s="170"/>
      <c r="R222" s="170"/>
      <c r="S222" s="107"/>
    </row>
    <row r="229" spans="15:17">
      <c r="O229" s="171"/>
    </row>
    <row r="230" spans="15:17">
      <c r="P230" s="26"/>
      <c r="Q230" s="26"/>
    </row>
    <row r="231" spans="15:17">
      <c r="P231" s="172"/>
      <c r="Q231" s="172"/>
    </row>
    <row r="232" spans="15:17">
      <c r="P232" s="109"/>
      <c r="Q232" s="109"/>
    </row>
    <row r="233" spans="15:17">
      <c r="O233" s="171"/>
    </row>
    <row r="234" spans="15:17">
      <c r="P234" s="109"/>
    </row>
    <row r="235" spans="15:17">
      <c r="P235" s="26"/>
      <c r="Q235" s="26"/>
    </row>
    <row r="236" spans="15:17">
      <c r="P236" s="26"/>
      <c r="Q236" s="26"/>
    </row>
    <row r="237" spans="15:17">
      <c r="P237" s="173"/>
      <c r="Q237" s="173"/>
    </row>
    <row r="239" spans="15:17">
      <c r="P239" s="79"/>
      <c r="Q239" s="79"/>
    </row>
    <row r="240" spans="15:17">
      <c r="P240" s="109"/>
    </row>
    <row r="241" spans="16:16">
      <c r="P241" s="173"/>
    </row>
  </sheetData>
  <mergeCells count="263">
    <mergeCell ref="C3:R4"/>
    <mergeCell ref="C6:R6"/>
    <mergeCell ref="J8:R8"/>
    <mergeCell ref="J9:R9"/>
    <mergeCell ref="C10:E11"/>
    <mergeCell ref="J10:R10"/>
    <mergeCell ref="J11:R11"/>
    <mergeCell ref="J17:R17"/>
    <mergeCell ref="J18:R18"/>
    <mergeCell ref="J19:R19"/>
    <mergeCell ref="J20:R20"/>
    <mergeCell ref="C22:R22"/>
    <mergeCell ref="C51:R51"/>
    <mergeCell ref="J12:R12"/>
    <mergeCell ref="J13:R13"/>
    <mergeCell ref="C14:E15"/>
    <mergeCell ref="J14:R14"/>
    <mergeCell ref="J15:R15"/>
    <mergeCell ref="J16:R16"/>
    <mergeCell ref="P60:R60"/>
    <mergeCell ref="P63:R63"/>
    <mergeCell ref="P66:R66"/>
    <mergeCell ref="P81:R81"/>
    <mergeCell ref="C82:R82"/>
    <mergeCell ref="P83:R83"/>
    <mergeCell ref="C52:R52"/>
    <mergeCell ref="P53:R53"/>
    <mergeCell ref="P54:R54"/>
    <mergeCell ref="P55:R55"/>
    <mergeCell ref="P56:R56"/>
    <mergeCell ref="C59:R59"/>
    <mergeCell ref="P93:Q93"/>
    <mergeCell ref="C94:R94"/>
    <mergeCell ref="P95:R95"/>
    <mergeCell ref="P96:Q96"/>
    <mergeCell ref="P97:Q97"/>
    <mergeCell ref="P98:Q98"/>
    <mergeCell ref="P84:Q84"/>
    <mergeCell ref="P85:Q85"/>
    <mergeCell ref="P86:Q86"/>
    <mergeCell ref="P90:Q90"/>
    <mergeCell ref="P91:Q91"/>
    <mergeCell ref="P92:Q92"/>
    <mergeCell ref="P106:Q106"/>
    <mergeCell ref="P107:Q107"/>
    <mergeCell ref="P108:Q108"/>
    <mergeCell ref="C110:R110"/>
    <mergeCell ref="P111:R111"/>
    <mergeCell ref="P112:R112"/>
    <mergeCell ref="P99:Q99"/>
    <mergeCell ref="C101:R101"/>
    <mergeCell ref="P102:R102"/>
    <mergeCell ref="P103:Q103"/>
    <mergeCell ref="P104:Q104"/>
    <mergeCell ref="P105:Q105"/>
    <mergeCell ref="K117:L117"/>
    <mergeCell ref="M117:N117"/>
    <mergeCell ref="O117:P117"/>
    <mergeCell ref="Q117:R117"/>
    <mergeCell ref="K118:L118"/>
    <mergeCell ref="M118:N118"/>
    <mergeCell ref="O118:P118"/>
    <mergeCell ref="Q118:R118"/>
    <mergeCell ref="P113:R113"/>
    <mergeCell ref="C115:R115"/>
    <mergeCell ref="K116:L116"/>
    <mergeCell ref="M116:N116"/>
    <mergeCell ref="O116:P116"/>
    <mergeCell ref="Q116:R116"/>
    <mergeCell ref="P126:Q126"/>
    <mergeCell ref="P127:Q127"/>
    <mergeCell ref="P128:Q128"/>
    <mergeCell ref="P129:Q129"/>
    <mergeCell ref="P130:Q130"/>
    <mergeCell ref="P131:Q131"/>
    <mergeCell ref="C120:R120"/>
    <mergeCell ref="P121:Q121"/>
    <mergeCell ref="P122:Q122"/>
    <mergeCell ref="P123:Q123"/>
    <mergeCell ref="P124:R124"/>
    <mergeCell ref="P125:Q125"/>
    <mergeCell ref="K139:M139"/>
    <mergeCell ref="N139:P139"/>
    <mergeCell ref="Q139:R139"/>
    <mergeCell ref="K140:M140"/>
    <mergeCell ref="N140:P140"/>
    <mergeCell ref="Q140:R140"/>
    <mergeCell ref="P132:Q132"/>
    <mergeCell ref="P133:R133"/>
    <mergeCell ref="P134:Q134"/>
    <mergeCell ref="P135:R135"/>
    <mergeCell ref="C137:R137"/>
    <mergeCell ref="C138:J138"/>
    <mergeCell ref="K138:M138"/>
    <mergeCell ref="N138:P138"/>
    <mergeCell ref="Q138:R138"/>
    <mergeCell ref="Q143:R143"/>
    <mergeCell ref="K144:L144"/>
    <mergeCell ref="N144:O144"/>
    <mergeCell ref="K145:L145"/>
    <mergeCell ref="N145:O145"/>
    <mergeCell ref="K146:M146"/>
    <mergeCell ref="N146:P146"/>
    <mergeCell ref="Q146:R146"/>
    <mergeCell ref="K141:L141"/>
    <mergeCell ref="N141:O141"/>
    <mergeCell ref="K142:L142"/>
    <mergeCell ref="N142:O142"/>
    <mergeCell ref="K143:M143"/>
    <mergeCell ref="N143:P143"/>
    <mergeCell ref="K150:M150"/>
    <mergeCell ref="N150:P150"/>
    <mergeCell ref="Q150:R150"/>
    <mergeCell ref="K151:M151"/>
    <mergeCell ref="N151:P151"/>
    <mergeCell ref="Q151:R151"/>
    <mergeCell ref="K147:L147"/>
    <mergeCell ref="N147:O147"/>
    <mergeCell ref="K148:L148"/>
    <mergeCell ref="N148:O148"/>
    <mergeCell ref="K149:L149"/>
    <mergeCell ref="N149:O149"/>
    <mergeCell ref="K155:L155"/>
    <mergeCell ref="N155:O155"/>
    <mergeCell ref="K156:M156"/>
    <mergeCell ref="N156:P156"/>
    <mergeCell ref="Q156:R156"/>
    <mergeCell ref="K157:M157"/>
    <mergeCell ref="N157:P157"/>
    <mergeCell ref="Q157:R157"/>
    <mergeCell ref="K152:M152"/>
    <mergeCell ref="N152:P152"/>
    <mergeCell ref="Q152:R152"/>
    <mergeCell ref="K153:L153"/>
    <mergeCell ref="N153:O153"/>
    <mergeCell ref="K154:L154"/>
    <mergeCell ref="N154:O154"/>
    <mergeCell ref="K160:M160"/>
    <mergeCell ref="N160:P160"/>
    <mergeCell ref="Q160:R160"/>
    <mergeCell ref="K161:M161"/>
    <mergeCell ref="N161:P161"/>
    <mergeCell ref="Q161:R161"/>
    <mergeCell ref="K158:M158"/>
    <mergeCell ref="N158:P158"/>
    <mergeCell ref="Q158:R158"/>
    <mergeCell ref="K159:M159"/>
    <mergeCell ref="N159:P159"/>
    <mergeCell ref="Q159:R159"/>
    <mergeCell ref="K165:L165"/>
    <mergeCell ref="N165:O165"/>
    <mergeCell ref="K166:L166"/>
    <mergeCell ref="N166:O166"/>
    <mergeCell ref="K167:L167"/>
    <mergeCell ref="N167:O167"/>
    <mergeCell ref="K162:M162"/>
    <mergeCell ref="N162:P162"/>
    <mergeCell ref="Q162:R162"/>
    <mergeCell ref="K163:L163"/>
    <mergeCell ref="N163:O163"/>
    <mergeCell ref="K164:L164"/>
    <mergeCell ref="N164:O164"/>
    <mergeCell ref="K171:M171"/>
    <mergeCell ref="N171:P171"/>
    <mergeCell ref="Q171:R171"/>
    <mergeCell ref="K172:L172"/>
    <mergeCell ref="N172:O172"/>
    <mergeCell ref="K173:L173"/>
    <mergeCell ref="N173:O173"/>
    <mergeCell ref="K168:L168"/>
    <mergeCell ref="N168:O168"/>
    <mergeCell ref="K169:M169"/>
    <mergeCell ref="N169:P169"/>
    <mergeCell ref="Q169:R169"/>
    <mergeCell ref="K170:M170"/>
    <mergeCell ref="N170:P170"/>
    <mergeCell ref="Q170:R170"/>
    <mergeCell ref="K176:M176"/>
    <mergeCell ref="N176:P176"/>
    <mergeCell ref="Q176:R176"/>
    <mergeCell ref="K177:L177"/>
    <mergeCell ref="N177:O177"/>
    <mergeCell ref="K178:M178"/>
    <mergeCell ref="N178:P178"/>
    <mergeCell ref="Q178:R178"/>
    <mergeCell ref="K174:M174"/>
    <mergeCell ref="N174:P174"/>
    <mergeCell ref="Q174:R174"/>
    <mergeCell ref="K175:M175"/>
    <mergeCell ref="N175:P175"/>
    <mergeCell ref="Q175:R175"/>
    <mergeCell ref="K181:M181"/>
    <mergeCell ref="N181:P181"/>
    <mergeCell ref="Q181:R181"/>
    <mergeCell ref="K182:L182"/>
    <mergeCell ref="N182:O182"/>
    <mergeCell ref="K183:L183"/>
    <mergeCell ref="N183:O183"/>
    <mergeCell ref="K179:M179"/>
    <mergeCell ref="N179:P179"/>
    <mergeCell ref="Q179:R179"/>
    <mergeCell ref="K180:M180"/>
    <mergeCell ref="N180:P180"/>
    <mergeCell ref="Q180:R180"/>
    <mergeCell ref="K187:M187"/>
    <mergeCell ref="N187:P187"/>
    <mergeCell ref="Q187:R187"/>
    <mergeCell ref="C189:R189"/>
    <mergeCell ref="O190:R190"/>
    <mergeCell ref="O191:R191"/>
    <mergeCell ref="K184:L184"/>
    <mergeCell ref="N184:O184"/>
    <mergeCell ref="K185:M185"/>
    <mergeCell ref="N185:P185"/>
    <mergeCell ref="Q185:R185"/>
    <mergeCell ref="K186:M186"/>
    <mergeCell ref="N186:P186"/>
    <mergeCell ref="Q186:R186"/>
    <mergeCell ref="O199:R199"/>
    <mergeCell ref="O200:R200"/>
    <mergeCell ref="O201:R201"/>
    <mergeCell ref="O202:R202"/>
    <mergeCell ref="O203:R203"/>
    <mergeCell ref="O204:R204"/>
    <mergeCell ref="O192:R192"/>
    <mergeCell ref="O193:R193"/>
    <mergeCell ref="O194:R194"/>
    <mergeCell ref="O195:R195"/>
    <mergeCell ref="C197:R197"/>
    <mergeCell ref="O198:R198"/>
    <mergeCell ref="K209:L209"/>
    <mergeCell ref="M209:N209"/>
    <mergeCell ref="O209:P209"/>
    <mergeCell ref="Q209:R209"/>
    <mergeCell ref="K210:L210"/>
    <mergeCell ref="M210:N210"/>
    <mergeCell ref="O210:P210"/>
    <mergeCell ref="Q210:R210"/>
    <mergeCell ref="C206:R206"/>
    <mergeCell ref="M207:R207"/>
    <mergeCell ref="K208:L208"/>
    <mergeCell ref="M208:N208"/>
    <mergeCell ref="O208:P208"/>
    <mergeCell ref="Q208:R208"/>
    <mergeCell ref="E214:F214"/>
    <mergeCell ref="O214:R214"/>
    <mergeCell ref="O215:R215"/>
    <mergeCell ref="K211:L211"/>
    <mergeCell ref="M211:N211"/>
    <mergeCell ref="O211:P211"/>
    <mergeCell ref="Q211:R211"/>
    <mergeCell ref="K212:L212"/>
    <mergeCell ref="M212:N212"/>
    <mergeCell ref="O212:P212"/>
    <mergeCell ref="O216:R216"/>
    <mergeCell ref="O217:R217"/>
    <mergeCell ref="O218:R218"/>
    <mergeCell ref="O219:R219"/>
    <mergeCell ref="O220:R220"/>
    <mergeCell ref="O221:R221"/>
    <mergeCell ref="K213:L213"/>
    <mergeCell ref="M213:N213"/>
    <mergeCell ref="O213:P213"/>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ADC8C-6D94-4B9E-B48E-93B90485C359}">
  <dimension ref="B1:X184"/>
  <sheetViews>
    <sheetView showGridLines="0" topLeftCell="D9" zoomScale="120" zoomScaleNormal="120" workbookViewId="0">
      <selection activeCell="Q1" sqref="Q1"/>
    </sheetView>
  </sheetViews>
  <sheetFormatPr defaultColWidth="9.140625" defaultRowHeight="15"/>
  <cols>
    <col min="1" max="1" width="9.140625" style="1"/>
    <col min="2" max="2" width="3.42578125" style="1" customWidth="1"/>
    <col min="3" max="3" width="37.7109375" style="1" customWidth="1"/>
    <col min="4" max="13" width="9.140625" style="1"/>
    <col min="14" max="14" width="10.42578125" style="1" customWidth="1"/>
    <col min="15" max="15" width="4" style="1" customWidth="1"/>
    <col min="16" max="16" width="9.140625" style="1" customWidth="1"/>
    <col min="17" max="17" width="16" style="1" customWidth="1"/>
    <col min="18" max="18" width="15.28515625" style="1" bestFit="1" customWidth="1"/>
    <col min="19" max="20" width="14.28515625" style="1" bestFit="1" customWidth="1"/>
    <col min="21" max="21" width="13.7109375" style="1" bestFit="1" customWidth="1"/>
    <col min="22" max="22" width="17.28515625" style="1" customWidth="1"/>
    <col min="23" max="23" width="10.5703125" style="1" bestFit="1" customWidth="1"/>
    <col min="24" max="24" width="11.5703125" style="1" bestFit="1" customWidth="1"/>
    <col min="25" max="16384" width="9.140625" style="1"/>
  </cols>
  <sheetData>
    <row r="1" spans="2:17" ht="15.75" thickBot="1"/>
    <row r="2" spans="2:17" ht="15.75" thickBot="1">
      <c r="B2" s="2"/>
      <c r="C2" s="3"/>
      <c r="D2" s="3"/>
      <c r="E2" s="3"/>
      <c r="F2" s="3"/>
      <c r="G2" s="3"/>
      <c r="H2" s="3"/>
      <c r="I2" s="3"/>
      <c r="J2" s="3"/>
      <c r="K2" s="3"/>
      <c r="L2" s="3"/>
      <c r="M2" s="3"/>
      <c r="N2" s="3"/>
      <c r="O2" s="4"/>
    </row>
    <row r="3" spans="2:17" ht="20.25" customHeight="1">
      <c r="B3" s="5"/>
      <c r="C3" s="380" t="s">
        <v>0</v>
      </c>
      <c r="D3" s="381"/>
      <c r="E3" s="381"/>
      <c r="F3" s="381"/>
      <c r="G3" s="381"/>
      <c r="H3" s="381"/>
      <c r="I3" s="381"/>
      <c r="J3" s="381"/>
      <c r="K3" s="381"/>
      <c r="L3" s="381"/>
      <c r="M3" s="381"/>
      <c r="N3" s="382"/>
      <c r="O3" s="6"/>
    </row>
    <row r="4" spans="2:17" ht="20.25" customHeight="1" thickBot="1">
      <c r="B4" s="5"/>
      <c r="C4" s="383"/>
      <c r="D4" s="384"/>
      <c r="E4" s="384"/>
      <c r="F4" s="384"/>
      <c r="G4" s="384"/>
      <c r="H4" s="384"/>
      <c r="I4" s="384"/>
      <c r="J4" s="384"/>
      <c r="K4" s="384"/>
      <c r="L4" s="384"/>
      <c r="M4" s="384"/>
      <c r="N4" s="385"/>
      <c r="O4" s="6"/>
    </row>
    <row r="5" spans="2:17" ht="15.75" thickBot="1">
      <c r="B5" s="5"/>
      <c r="C5" s="7"/>
      <c r="D5" s="7"/>
      <c r="E5" s="7"/>
      <c r="F5" s="7"/>
      <c r="G5" s="7"/>
      <c r="H5" s="7"/>
      <c r="I5" s="7"/>
      <c r="J5" s="7"/>
      <c r="K5" s="7"/>
      <c r="L5" s="7"/>
      <c r="M5" s="7"/>
      <c r="N5" s="7"/>
      <c r="O5" s="6"/>
    </row>
    <row r="6" spans="2:17" ht="15.75" thickBot="1">
      <c r="B6" s="5"/>
      <c r="C6" s="386" t="s">
        <v>252</v>
      </c>
      <c r="D6" s="387"/>
      <c r="E6" s="387"/>
      <c r="F6" s="387"/>
      <c r="G6" s="387"/>
      <c r="H6" s="387"/>
      <c r="I6" s="387"/>
      <c r="J6" s="387"/>
      <c r="K6" s="387"/>
      <c r="L6" s="387"/>
      <c r="M6" s="387"/>
      <c r="N6" s="388"/>
      <c r="O6" s="6"/>
    </row>
    <row r="7" spans="2:17" ht="15.75" thickBot="1">
      <c r="B7" s="5"/>
      <c r="C7" s="7"/>
      <c r="D7" s="7"/>
      <c r="E7" s="7"/>
      <c r="F7" s="7"/>
      <c r="G7" s="7"/>
      <c r="H7" s="7"/>
      <c r="I7" s="7"/>
      <c r="J7" s="7"/>
      <c r="K7" s="7"/>
      <c r="L7" s="7"/>
      <c r="M7" s="7"/>
      <c r="N7" s="7"/>
      <c r="O7" s="6"/>
    </row>
    <row r="8" spans="2:17">
      <c r="B8" s="5"/>
      <c r="C8" s="8" t="s">
        <v>253</v>
      </c>
      <c r="D8" s="9"/>
      <c r="E8" s="9"/>
      <c r="F8" s="9"/>
      <c r="G8" s="9"/>
      <c r="H8" s="9"/>
      <c r="I8" s="10"/>
      <c r="J8" s="389">
        <f>J9+10</f>
        <v>45056</v>
      </c>
      <c r="K8" s="389"/>
      <c r="L8" s="389"/>
      <c r="M8" s="389"/>
      <c r="N8" s="391"/>
      <c r="O8" s="6"/>
    </row>
    <row r="9" spans="2:17">
      <c r="B9" s="5"/>
      <c r="C9" s="11" t="s">
        <v>254</v>
      </c>
      <c r="D9" s="12"/>
      <c r="E9" s="12"/>
      <c r="F9" s="12"/>
      <c r="G9" s="12"/>
      <c r="H9" s="12"/>
      <c r="I9" s="13"/>
      <c r="J9" s="371">
        <v>45046</v>
      </c>
      <c r="K9" s="371"/>
      <c r="L9" s="371"/>
      <c r="M9" s="371"/>
      <c r="N9" s="373"/>
      <c r="O9" s="6"/>
    </row>
    <row r="10" spans="2:17">
      <c r="B10" s="5"/>
      <c r="C10" s="374" t="s">
        <v>4</v>
      </c>
      <c r="D10" s="375"/>
      <c r="E10" s="392"/>
      <c r="F10" s="15" t="s">
        <v>255</v>
      </c>
      <c r="G10" s="12"/>
      <c r="H10" s="12"/>
      <c r="I10" s="13"/>
      <c r="J10" s="371">
        <v>44957</v>
      </c>
      <c r="K10" s="371"/>
      <c r="L10" s="371"/>
      <c r="M10" s="371"/>
      <c r="N10" s="373"/>
      <c r="O10" s="6"/>
      <c r="Q10" s="174"/>
    </row>
    <row r="11" spans="2:17">
      <c r="B11" s="5"/>
      <c r="C11" s="377"/>
      <c r="D11" s="378"/>
      <c r="E11" s="376"/>
      <c r="F11" s="18" t="s">
        <v>256</v>
      </c>
      <c r="G11" s="12"/>
      <c r="H11" s="12"/>
      <c r="I11" s="13"/>
      <c r="J11" s="371">
        <v>45046</v>
      </c>
      <c r="K11" s="371"/>
      <c r="L11" s="371"/>
      <c r="M11" s="371"/>
      <c r="N11" s="373"/>
      <c r="O11" s="6"/>
    </row>
    <row r="12" spans="2:17">
      <c r="B12" s="5"/>
      <c r="C12" s="175" t="s">
        <v>257</v>
      </c>
      <c r="D12" s="19"/>
      <c r="E12" s="14"/>
      <c r="F12" s="21"/>
      <c r="G12" s="12"/>
      <c r="H12" s="12"/>
      <c r="I12" s="13"/>
      <c r="J12" s="368">
        <f>J11-J10</f>
        <v>89</v>
      </c>
      <c r="K12" s="368"/>
      <c r="L12" s="368"/>
      <c r="M12" s="368"/>
      <c r="N12" s="370"/>
      <c r="O12" s="6"/>
    </row>
    <row r="13" spans="2:17">
      <c r="B13" s="5"/>
      <c r="C13" s="374" t="s">
        <v>258</v>
      </c>
      <c r="D13" s="375"/>
      <c r="E13" s="392"/>
      <c r="F13" s="15" t="s">
        <v>259</v>
      </c>
      <c r="G13" s="21"/>
      <c r="H13" s="21"/>
      <c r="I13" s="23"/>
      <c r="J13" s="498" t="s">
        <v>58</v>
      </c>
      <c r="K13" s="498"/>
      <c r="L13" s="498"/>
      <c r="M13" s="498"/>
      <c r="N13" s="499"/>
      <c r="O13" s="6"/>
    </row>
    <row r="14" spans="2:17">
      <c r="B14" s="5"/>
      <c r="C14" s="377"/>
      <c r="D14" s="378"/>
      <c r="E14" s="379"/>
      <c r="F14" s="15" t="s">
        <v>260</v>
      </c>
      <c r="G14" s="21"/>
      <c r="H14" s="21"/>
      <c r="I14" s="23"/>
      <c r="J14" s="498" t="s">
        <v>58</v>
      </c>
      <c r="K14" s="498"/>
      <c r="L14" s="498"/>
      <c r="M14" s="498"/>
      <c r="N14" s="499"/>
      <c r="O14" s="6"/>
    </row>
    <row r="15" spans="2:17">
      <c r="B15" s="5"/>
      <c r="C15" s="16" t="s">
        <v>261</v>
      </c>
      <c r="D15" s="17"/>
      <c r="E15" s="17"/>
      <c r="F15" s="21"/>
      <c r="G15" s="21"/>
      <c r="H15" s="21"/>
      <c r="I15" s="23"/>
      <c r="J15" s="371">
        <v>52366</v>
      </c>
      <c r="K15" s="371"/>
      <c r="L15" s="371"/>
      <c r="M15" s="371"/>
      <c r="N15" s="373"/>
      <c r="O15" s="6"/>
    </row>
    <row r="16" spans="2:17">
      <c r="B16" s="5"/>
      <c r="C16" s="16" t="s">
        <v>262</v>
      </c>
      <c r="D16" s="17"/>
      <c r="E16" s="17"/>
      <c r="F16" s="21"/>
      <c r="G16" s="21"/>
      <c r="H16" s="21"/>
      <c r="I16" s="23"/>
      <c r="J16" s="500">
        <v>7.4499999999999997E-2</v>
      </c>
      <c r="K16" s="500"/>
      <c r="L16" s="500"/>
      <c r="M16" s="500"/>
      <c r="N16" s="501"/>
      <c r="O16" s="6"/>
    </row>
    <row r="17" spans="2:24">
      <c r="B17" s="5"/>
      <c r="C17" s="374" t="s">
        <v>263</v>
      </c>
      <c r="D17" s="375"/>
      <c r="E17" s="392"/>
      <c r="F17" s="21" t="s">
        <v>264</v>
      </c>
      <c r="G17" s="21"/>
      <c r="H17" s="21"/>
      <c r="I17" s="23"/>
      <c r="J17" s="372">
        <v>44972</v>
      </c>
      <c r="K17" s="494"/>
      <c r="L17" s="494"/>
      <c r="M17" s="494"/>
      <c r="N17" s="495"/>
      <c r="O17" s="6"/>
    </row>
    <row r="18" spans="2:24">
      <c r="B18" s="5"/>
      <c r="C18" s="377"/>
      <c r="D18" s="378"/>
      <c r="E18" s="379"/>
      <c r="F18" s="21" t="s">
        <v>265</v>
      </c>
      <c r="G18" s="21"/>
      <c r="H18" s="21"/>
      <c r="I18" s="23"/>
      <c r="J18" s="372">
        <v>45077</v>
      </c>
      <c r="K18" s="494"/>
      <c r="L18" s="494"/>
      <c r="M18" s="494"/>
      <c r="N18" s="495"/>
      <c r="O18" s="6"/>
    </row>
    <row r="19" spans="2:24">
      <c r="B19" s="5"/>
      <c r="C19" s="22" t="s">
        <v>266</v>
      </c>
      <c r="D19" s="21"/>
      <c r="E19" s="21"/>
      <c r="F19" s="21"/>
      <c r="G19" s="21"/>
      <c r="H19" s="21"/>
      <c r="I19" s="23"/>
      <c r="J19" s="496" t="s">
        <v>17</v>
      </c>
      <c r="K19" s="496"/>
      <c r="L19" s="496"/>
      <c r="M19" s="496"/>
      <c r="N19" s="497"/>
      <c r="O19" s="6"/>
    </row>
    <row r="20" spans="2:24" ht="15.75" thickBot="1">
      <c r="B20" s="5"/>
      <c r="C20" s="70" t="s">
        <v>267</v>
      </c>
      <c r="D20" s="176"/>
      <c r="E20" s="176"/>
      <c r="F20" s="176"/>
      <c r="G20" s="176"/>
      <c r="H20" s="176"/>
      <c r="I20" s="176"/>
      <c r="J20" s="362" t="s">
        <v>268</v>
      </c>
      <c r="K20" s="362"/>
      <c r="L20" s="362"/>
      <c r="M20" s="362"/>
      <c r="N20" s="364"/>
      <c r="O20" s="6"/>
    </row>
    <row r="21" spans="2:24" ht="15.75" thickBot="1">
      <c r="B21" s="5"/>
      <c r="C21" s="5"/>
      <c r="D21" s="7"/>
      <c r="E21" s="7"/>
      <c r="F21" s="7"/>
      <c r="G21" s="7"/>
      <c r="H21" s="7"/>
      <c r="I21" s="7"/>
      <c r="J21" s="7"/>
      <c r="K21" s="7"/>
      <c r="L21" s="7"/>
      <c r="M21" s="7"/>
      <c r="N21" s="6"/>
      <c r="O21" s="6"/>
    </row>
    <row r="22" spans="2:24">
      <c r="B22" s="5"/>
      <c r="C22" s="260" t="s">
        <v>269</v>
      </c>
      <c r="D22" s="261"/>
      <c r="E22" s="261"/>
      <c r="F22" s="261"/>
      <c r="G22" s="261"/>
      <c r="H22" s="261"/>
      <c r="I22" s="261"/>
      <c r="J22" s="261"/>
      <c r="K22" s="261"/>
      <c r="L22" s="261"/>
      <c r="M22" s="261"/>
      <c r="N22" s="262"/>
      <c r="O22" s="6"/>
    </row>
    <row r="23" spans="2:24">
      <c r="B23" s="5"/>
      <c r="C23" s="348" t="s">
        <v>270</v>
      </c>
      <c r="D23" s="338"/>
      <c r="E23" s="338"/>
      <c r="F23" s="338"/>
      <c r="G23" s="338"/>
      <c r="H23" s="338"/>
      <c r="I23" s="338"/>
      <c r="J23" s="338"/>
      <c r="K23" s="338"/>
      <c r="L23" s="338"/>
      <c r="M23" s="338"/>
      <c r="N23" s="339"/>
      <c r="O23" s="6"/>
    </row>
    <row r="24" spans="2:24">
      <c r="B24" s="5"/>
      <c r="C24" s="98" t="s">
        <v>271</v>
      </c>
      <c r="D24" s="177"/>
      <c r="E24" s="177"/>
      <c r="F24" s="177"/>
      <c r="G24" s="177"/>
      <c r="H24" s="177"/>
      <c r="I24" s="178"/>
      <c r="J24" s="490">
        <v>1410912363.0565</v>
      </c>
      <c r="K24" s="490"/>
      <c r="L24" s="490"/>
      <c r="M24" s="490"/>
      <c r="N24" s="491"/>
      <c r="O24" s="6"/>
      <c r="R24" s="26"/>
    </row>
    <row r="25" spans="2:24">
      <c r="B25" s="5"/>
      <c r="C25" s="348" t="s">
        <v>272</v>
      </c>
      <c r="D25" s="338"/>
      <c r="E25" s="338"/>
      <c r="F25" s="338"/>
      <c r="G25" s="338"/>
      <c r="H25" s="338"/>
      <c r="I25" s="338"/>
      <c r="J25" s="338"/>
      <c r="K25" s="338"/>
      <c r="L25" s="338"/>
      <c r="M25" s="338"/>
      <c r="N25" s="339"/>
      <c r="O25" s="6"/>
    </row>
    <row r="26" spans="2:24">
      <c r="B26" s="5"/>
      <c r="C26" s="104" t="s">
        <v>273</v>
      </c>
      <c r="D26" s="179"/>
      <c r="E26" s="179"/>
      <c r="F26" s="179"/>
      <c r="G26" s="179"/>
      <c r="H26" s="179"/>
      <c r="I26" s="179"/>
      <c r="J26" s="476">
        <f>SUM(J27:M28)</f>
        <v>60299606</v>
      </c>
      <c r="K26" s="477"/>
      <c r="L26" s="477"/>
      <c r="M26" s="477"/>
      <c r="N26" s="479"/>
      <c r="O26" s="6"/>
    </row>
    <row r="27" spans="2:24">
      <c r="B27" s="5"/>
      <c r="C27" s="180" t="s">
        <v>274</v>
      </c>
      <c r="D27" s="179"/>
      <c r="E27" s="179"/>
      <c r="F27" s="179"/>
      <c r="G27" s="179"/>
      <c r="H27" s="179"/>
      <c r="I27" s="179"/>
      <c r="J27" s="492">
        <v>0</v>
      </c>
      <c r="K27" s="493"/>
      <c r="L27" s="493"/>
      <c r="M27" s="493"/>
      <c r="N27" s="181"/>
      <c r="O27" s="6"/>
      <c r="R27" s="109"/>
      <c r="S27" s="26"/>
    </row>
    <row r="28" spans="2:24">
      <c r="B28" s="5"/>
      <c r="C28" s="180" t="s">
        <v>275</v>
      </c>
      <c r="D28" s="179"/>
      <c r="E28" s="179"/>
      <c r="F28" s="179"/>
      <c r="G28" s="179"/>
      <c r="H28" s="179"/>
      <c r="I28" s="179"/>
      <c r="J28" s="492">
        <v>60299606</v>
      </c>
      <c r="K28" s="493"/>
      <c r="L28" s="493"/>
      <c r="M28" s="493"/>
      <c r="N28" s="182"/>
      <c r="O28" s="6"/>
      <c r="Q28" s="109"/>
      <c r="R28" s="109"/>
      <c r="S28" s="26"/>
    </row>
    <row r="29" spans="2:24">
      <c r="B29" s="5"/>
      <c r="C29" s="104" t="s">
        <v>276</v>
      </c>
      <c r="D29" s="179"/>
      <c r="E29" s="179"/>
      <c r="F29" s="179"/>
      <c r="G29" s="179"/>
      <c r="H29" s="179"/>
      <c r="I29" s="179"/>
      <c r="J29" s="476">
        <f>SUM(J30:M31)</f>
        <v>3187584.548</v>
      </c>
      <c r="K29" s="477"/>
      <c r="L29" s="477"/>
      <c r="M29" s="477"/>
      <c r="N29" s="479"/>
      <c r="O29" s="6"/>
    </row>
    <row r="30" spans="2:24">
      <c r="B30" s="5"/>
      <c r="C30" s="180" t="s">
        <v>277</v>
      </c>
      <c r="D30" s="179"/>
      <c r="E30" s="179"/>
      <c r="F30" s="179"/>
      <c r="G30" s="179"/>
      <c r="H30" s="179"/>
      <c r="I30" s="179"/>
      <c r="J30" s="299">
        <v>2922587.5</v>
      </c>
      <c r="K30" s="300"/>
      <c r="L30" s="300"/>
      <c r="M30" s="300"/>
      <c r="N30" s="181"/>
      <c r="O30" s="6"/>
      <c r="T30" s="173"/>
      <c r="V30" s="79"/>
      <c r="W30" s="79"/>
      <c r="X30" s="79"/>
    </row>
    <row r="31" spans="2:24">
      <c r="B31" s="5"/>
      <c r="C31" s="180" t="s">
        <v>278</v>
      </c>
      <c r="D31" s="179"/>
      <c r="E31" s="179"/>
      <c r="F31" s="179"/>
      <c r="G31" s="179"/>
      <c r="H31" s="179"/>
      <c r="I31" s="179"/>
      <c r="J31" s="468">
        <v>264997.04800000001</v>
      </c>
      <c r="K31" s="469"/>
      <c r="L31" s="469"/>
      <c r="M31" s="469"/>
      <c r="N31" s="182"/>
      <c r="O31" s="6"/>
      <c r="T31" s="173"/>
    </row>
    <row r="32" spans="2:24">
      <c r="B32" s="5"/>
      <c r="C32" s="348" t="s">
        <v>279</v>
      </c>
      <c r="D32" s="338"/>
      <c r="E32" s="338"/>
      <c r="F32" s="338"/>
      <c r="G32" s="338"/>
      <c r="H32" s="338"/>
      <c r="I32" s="338"/>
      <c r="J32" s="338"/>
      <c r="K32" s="338"/>
      <c r="L32" s="338"/>
      <c r="M32" s="338"/>
      <c r="N32" s="339"/>
      <c r="O32" s="6"/>
      <c r="T32" s="173"/>
    </row>
    <row r="33" spans="2:22">
      <c r="B33" s="5"/>
      <c r="C33" s="98" t="s">
        <v>280</v>
      </c>
      <c r="D33" s="177"/>
      <c r="E33" s="177"/>
      <c r="F33" s="177"/>
      <c r="G33" s="177"/>
      <c r="H33" s="177"/>
      <c r="I33" s="177"/>
      <c r="J33" s="476">
        <f>SUM(J34:M36)</f>
        <v>58774776.999999985</v>
      </c>
      <c r="K33" s="477"/>
      <c r="L33" s="477"/>
      <c r="M33" s="477"/>
      <c r="N33" s="479"/>
      <c r="O33" s="6"/>
      <c r="U33" s="79"/>
    </row>
    <row r="34" spans="2:22">
      <c r="B34" s="5"/>
      <c r="C34" s="63" t="s">
        <v>281</v>
      </c>
      <c r="D34" s="179"/>
      <c r="E34" s="179"/>
      <c r="F34" s="179"/>
      <c r="G34" s="179"/>
      <c r="H34" s="179"/>
      <c r="I34" s="183"/>
      <c r="J34" s="299">
        <v>13244953.719999995</v>
      </c>
      <c r="K34" s="300"/>
      <c r="L34" s="300"/>
      <c r="M34" s="300"/>
      <c r="N34" s="181"/>
      <c r="O34" s="6"/>
    </row>
    <row r="35" spans="2:22">
      <c r="B35" s="5"/>
      <c r="C35" s="63" t="s">
        <v>282</v>
      </c>
      <c r="D35" s="179"/>
      <c r="E35" s="179"/>
      <c r="F35" s="179"/>
      <c r="G35" s="179"/>
      <c r="H35" s="179"/>
      <c r="I35" s="183"/>
      <c r="J35" s="300">
        <v>45529823.279999994</v>
      </c>
      <c r="K35" s="300"/>
      <c r="L35" s="300"/>
      <c r="M35" s="300"/>
      <c r="N35" s="184"/>
      <c r="O35" s="6"/>
      <c r="S35" s="109"/>
      <c r="T35" s="173"/>
      <c r="V35" s="109"/>
    </row>
    <row r="36" spans="2:22">
      <c r="B36" s="5"/>
      <c r="C36" s="90" t="s">
        <v>283</v>
      </c>
      <c r="D36" s="185"/>
      <c r="E36" s="185"/>
      <c r="F36" s="185"/>
      <c r="G36" s="185"/>
      <c r="H36" s="185"/>
      <c r="I36" s="186"/>
      <c r="J36" s="300">
        <v>0</v>
      </c>
      <c r="K36" s="300"/>
      <c r="L36" s="300"/>
      <c r="M36" s="300"/>
      <c r="N36" s="184"/>
      <c r="O36" s="6"/>
      <c r="Q36" s="109"/>
      <c r="R36" s="109"/>
      <c r="S36" s="109"/>
      <c r="T36" s="109"/>
    </row>
    <row r="37" spans="2:22">
      <c r="B37" s="5"/>
      <c r="C37" s="348" t="s">
        <v>284</v>
      </c>
      <c r="D37" s="338"/>
      <c r="E37" s="338"/>
      <c r="F37" s="338"/>
      <c r="G37" s="338"/>
      <c r="H37" s="338"/>
      <c r="I37" s="338"/>
      <c r="J37" s="338"/>
      <c r="K37" s="338"/>
      <c r="L37" s="338"/>
      <c r="M37" s="338"/>
      <c r="N37" s="339"/>
      <c r="O37" s="6"/>
    </row>
    <row r="38" spans="2:22">
      <c r="B38" s="5"/>
      <c r="C38" s="98" t="s">
        <v>285</v>
      </c>
      <c r="D38" s="177"/>
      <c r="E38" s="177"/>
      <c r="F38" s="177"/>
      <c r="G38" s="177"/>
      <c r="H38" s="177"/>
      <c r="I38" s="178"/>
      <c r="J38" s="477">
        <f>SUM(J39:M41)</f>
        <v>56082056.000000015</v>
      </c>
      <c r="K38" s="477"/>
      <c r="L38" s="477"/>
      <c r="M38" s="477"/>
      <c r="N38" s="479"/>
      <c r="O38" s="6"/>
      <c r="P38" s="109"/>
      <c r="U38" s="79"/>
      <c r="V38" s="109"/>
    </row>
    <row r="39" spans="2:22">
      <c r="B39" s="5"/>
      <c r="C39" s="63" t="s">
        <v>286</v>
      </c>
      <c r="D39" s="179"/>
      <c r="E39" s="179"/>
      <c r="F39" s="179"/>
      <c r="G39" s="179"/>
      <c r="H39" s="179"/>
      <c r="I39" s="183"/>
      <c r="J39" s="300">
        <v>12669331.529999999</v>
      </c>
      <c r="K39" s="300"/>
      <c r="L39" s="300"/>
      <c r="M39" s="300"/>
      <c r="N39" s="181"/>
      <c r="O39" s="6"/>
    </row>
    <row r="40" spans="2:22">
      <c r="B40" s="5"/>
      <c r="C40" s="63" t="s">
        <v>287</v>
      </c>
      <c r="D40" s="179"/>
      <c r="E40" s="179"/>
      <c r="F40" s="179"/>
      <c r="G40" s="179"/>
      <c r="H40" s="179"/>
      <c r="I40" s="183"/>
      <c r="J40" s="300">
        <v>43412724.470000014</v>
      </c>
      <c r="K40" s="300"/>
      <c r="L40" s="300"/>
      <c r="M40" s="300"/>
      <c r="N40" s="181"/>
      <c r="O40" s="6"/>
      <c r="Q40" s="109"/>
      <c r="R40" s="87"/>
      <c r="T40" s="173"/>
      <c r="V40" s="109"/>
    </row>
    <row r="41" spans="2:22">
      <c r="B41" s="5"/>
      <c r="C41" s="90" t="s">
        <v>288</v>
      </c>
      <c r="D41" s="185"/>
      <c r="E41" s="185"/>
      <c r="F41" s="185"/>
      <c r="G41" s="185"/>
      <c r="H41" s="185"/>
      <c r="I41" s="186"/>
      <c r="J41" s="300">
        <v>0</v>
      </c>
      <c r="K41" s="300"/>
      <c r="L41" s="300"/>
      <c r="M41" s="300"/>
      <c r="N41" s="181"/>
      <c r="O41" s="6"/>
      <c r="R41" s="87"/>
    </row>
    <row r="42" spans="2:22">
      <c r="B42" s="5"/>
      <c r="C42" s="104" t="s">
        <v>289</v>
      </c>
      <c r="D42" s="179"/>
      <c r="E42" s="179"/>
      <c r="F42" s="179"/>
      <c r="G42" s="179"/>
      <c r="H42" s="179"/>
      <c r="I42" s="183"/>
      <c r="J42" s="485">
        <v>14074603.92</v>
      </c>
      <c r="K42" s="486"/>
      <c r="L42" s="486"/>
      <c r="M42" s="486"/>
      <c r="N42" s="487"/>
      <c r="O42" s="6"/>
      <c r="P42" s="187"/>
      <c r="Q42" s="109"/>
      <c r="R42" s="87"/>
      <c r="S42" s="87"/>
      <c r="T42" s="87"/>
      <c r="V42" s="109"/>
    </row>
    <row r="43" spans="2:22">
      <c r="B43" s="5"/>
      <c r="C43" s="119" t="s">
        <v>290</v>
      </c>
      <c r="D43" s="188"/>
      <c r="E43" s="188"/>
      <c r="F43" s="188"/>
      <c r="G43" s="188"/>
      <c r="H43" s="188"/>
      <c r="I43" s="189"/>
      <c r="J43" s="485">
        <v>0</v>
      </c>
      <c r="K43" s="486"/>
      <c r="L43" s="486"/>
      <c r="M43" s="486"/>
      <c r="N43" s="487"/>
      <c r="O43" s="6"/>
      <c r="R43" s="87"/>
    </row>
    <row r="44" spans="2:22">
      <c r="B44" s="5"/>
      <c r="C44" s="119" t="s">
        <v>291</v>
      </c>
      <c r="D44" s="188"/>
      <c r="E44" s="188"/>
      <c r="F44" s="188"/>
      <c r="G44" s="188"/>
      <c r="H44" s="188"/>
      <c r="I44" s="189"/>
      <c r="J44" s="485">
        <v>0</v>
      </c>
      <c r="K44" s="486"/>
      <c r="L44" s="486"/>
      <c r="M44" s="486"/>
      <c r="N44" s="487"/>
      <c r="O44" s="6"/>
      <c r="R44" s="87"/>
    </row>
    <row r="45" spans="2:22" ht="13.9" customHeight="1">
      <c r="B45" s="5"/>
      <c r="C45" s="98" t="s">
        <v>292</v>
      </c>
      <c r="D45" s="177"/>
      <c r="E45" s="177"/>
      <c r="F45" s="177"/>
      <c r="G45" s="177"/>
      <c r="H45" s="177"/>
      <c r="I45" s="177"/>
      <c r="J45" s="476">
        <f>SUM(J46:M47)</f>
        <v>60333861</v>
      </c>
      <c r="K45" s="477"/>
      <c r="L45" s="477"/>
      <c r="M45" s="477"/>
      <c r="N45" s="479"/>
      <c r="O45" s="6"/>
      <c r="R45" s="87"/>
      <c r="S45" s="109"/>
      <c r="T45" s="109"/>
      <c r="U45" s="173"/>
    </row>
    <row r="46" spans="2:22">
      <c r="B46" s="5"/>
      <c r="C46" s="180" t="s">
        <v>108</v>
      </c>
      <c r="D46" s="179"/>
      <c r="E46" s="179"/>
      <c r="F46" s="179"/>
      <c r="G46" s="179"/>
      <c r="H46" s="179"/>
      <c r="I46" s="179"/>
      <c r="J46" s="488">
        <v>0</v>
      </c>
      <c r="K46" s="489"/>
      <c r="L46" s="489"/>
      <c r="M46" s="489"/>
      <c r="N46" s="190"/>
      <c r="O46" s="6"/>
      <c r="R46" s="87"/>
    </row>
    <row r="47" spans="2:22">
      <c r="B47" s="5"/>
      <c r="C47" s="191" t="s">
        <v>109</v>
      </c>
      <c r="D47" s="185"/>
      <c r="E47" s="185"/>
      <c r="F47" s="185"/>
      <c r="G47" s="185"/>
      <c r="H47" s="185"/>
      <c r="I47" s="185"/>
      <c r="J47" s="474">
        <v>60333861</v>
      </c>
      <c r="K47" s="475"/>
      <c r="L47" s="475"/>
      <c r="M47" s="475"/>
      <c r="N47" s="192"/>
      <c r="O47" s="6"/>
      <c r="R47" s="87"/>
      <c r="S47" s="79"/>
      <c r="T47" s="79"/>
    </row>
    <row r="48" spans="2:22">
      <c r="B48" s="5"/>
      <c r="C48" s="480" t="s">
        <v>293</v>
      </c>
      <c r="D48" s="481"/>
      <c r="E48" s="481"/>
      <c r="F48" s="481"/>
      <c r="G48" s="481"/>
      <c r="H48" s="481"/>
      <c r="I48" s="481"/>
      <c r="J48" s="481"/>
      <c r="K48" s="481"/>
      <c r="L48" s="481"/>
      <c r="M48" s="481"/>
      <c r="N48" s="482"/>
      <c r="O48" s="6"/>
      <c r="R48" s="87"/>
    </row>
    <row r="49" spans="2:22" ht="15.75" thickBot="1">
      <c r="B49" s="5"/>
      <c r="C49" s="153" t="s">
        <v>294</v>
      </c>
      <c r="D49" s="193"/>
      <c r="E49" s="193"/>
      <c r="F49" s="193"/>
      <c r="G49" s="193"/>
      <c r="H49" s="193"/>
      <c r="I49" s="194"/>
      <c r="J49" s="483">
        <v>1391877072.9035001</v>
      </c>
      <c r="K49" s="483"/>
      <c r="L49" s="483"/>
      <c r="M49" s="483"/>
      <c r="N49" s="484"/>
      <c r="O49" s="6"/>
      <c r="Q49" s="26"/>
      <c r="R49" s="87"/>
      <c r="S49" s="26"/>
    </row>
    <row r="50" spans="2:22" ht="15.75" thickBot="1">
      <c r="B50" s="5"/>
      <c r="C50" s="195"/>
      <c r="D50" s="195"/>
      <c r="E50" s="195"/>
      <c r="F50" s="195"/>
      <c r="G50" s="195"/>
      <c r="H50" s="195"/>
      <c r="I50" s="195"/>
      <c r="J50" s="195"/>
      <c r="K50" s="195"/>
      <c r="L50" s="195"/>
      <c r="M50" s="195"/>
      <c r="N50" s="195"/>
      <c r="O50" s="6"/>
      <c r="R50" s="87"/>
    </row>
    <row r="51" spans="2:22">
      <c r="B51" s="5"/>
      <c r="C51" s="260" t="s">
        <v>295</v>
      </c>
      <c r="D51" s="261"/>
      <c r="E51" s="261"/>
      <c r="F51" s="261"/>
      <c r="G51" s="261"/>
      <c r="H51" s="261"/>
      <c r="I51" s="261"/>
      <c r="J51" s="261"/>
      <c r="K51" s="261"/>
      <c r="L51" s="261"/>
      <c r="M51" s="261"/>
      <c r="N51" s="262"/>
      <c r="O51" s="6"/>
      <c r="Q51" s="171"/>
      <c r="R51" s="87"/>
      <c r="S51" s="79"/>
      <c r="V51" s="79"/>
    </row>
    <row r="52" spans="2:22">
      <c r="B52" s="5"/>
      <c r="C52" s="196"/>
      <c r="D52" s="151"/>
      <c r="E52" s="151"/>
      <c r="F52" s="151"/>
      <c r="G52" s="151"/>
      <c r="H52" s="151"/>
      <c r="I52" s="246" t="s">
        <v>296</v>
      </c>
      <c r="J52" s="218"/>
      <c r="K52" s="247"/>
      <c r="L52" s="246" t="s">
        <v>297</v>
      </c>
      <c r="M52" s="218"/>
      <c r="N52" s="248"/>
      <c r="O52" s="6"/>
      <c r="R52" s="87"/>
    </row>
    <row r="53" spans="2:22">
      <c r="B53" s="5"/>
      <c r="C53" s="119" t="s">
        <v>298</v>
      </c>
      <c r="D53" s="160"/>
      <c r="E53" s="160"/>
      <c r="F53" s="160"/>
      <c r="G53" s="160"/>
      <c r="H53" s="160"/>
      <c r="I53" s="476">
        <f>I63-I54-I58</f>
        <v>1203905984.5764999</v>
      </c>
      <c r="J53" s="477"/>
      <c r="K53" s="479"/>
      <c r="L53" s="476">
        <f>L63-L54-L58</f>
        <v>1268908405.4865</v>
      </c>
      <c r="M53" s="477"/>
      <c r="N53" s="479"/>
      <c r="O53" s="6"/>
      <c r="R53" s="87"/>
    </row>
    <row r="54" spans="2:22">
      <c r="B54" s="5"/>
      <c r="C54" s="98" t="s">
        <v>299</v>
      </c>
      <c r="D54" s="197"/>
      <c r="E54" s="197"/>
      <c r="F54" s="197"/>
      <c r="G54" s="197"/>
      <c r="H54" s="197"/>
      <c r="I54" s="476">
        <f>SUM(I55:J57)</f>
        <v>205526659.9285</v>
      </c>
      <c r="J54" s="477"/>
      <c r="K54" s="478"/>
      <c r="L54" s="476">
        <f>SUM(L55:M57)</f>
        <v>117064797.78999998</v>
      </c>
      <c r="M54" s="477"/>
      <c r="N54" s="479"/>
      <c r="O54" s="6"/>
      <c r="R54" s="87"/>
    </row>
    <row r="55" spans="2:22">
      <c r="B55" s="5"/>
      <c r="C55" s="63" t="s">
        <v>300</v>
      </c>
      <c r="D55" s="198"/>
      <c r="E55" s="198"/>
      <c r="F55" s="198"/>
      <c r="G55" s="198"/>
      <c r="H55" s="198"/>
      <c r="I55" s="299">
        <v>162176720.39700001</v>
      </c>
      <c r="J55" s="300"/>
      <c r="K55" s="199"/>
      <c r="L55" s="299">
        <v>55508595.592999995</v>
      </c>
      <c r="M55" s="300"/>
      <c r="N55" s="181"/>
      <c r="O55" s="6"/>
      <c r="R55" s="87"/>
    </row>
    <row r="56" spans="2:22">
      <c r="B56" s="5"/>
      <c r="C56" s="200" t="s">
        <v>301</v>
      </c>
      <c r="D56" s="198"/>
      <c r="E56" s="198"/>
      <c r="F56" s="198"/>
      <c r="G56" s="198"/>
      <c r="H56" s="198"/>
      <c r="I56" s="299">
        <v>39019107.751000002</v>
      </c>
      <c r="J56" s="300"/>
      <c r="K56" s="199"/>
      <c r="L56" s="299">
        <v>53348428.188999988</v>
      </c>
      <c r="M56" s="300"/>
      <c r="N56" s="181"/>
      <c r="O56" s="6"/>
      <c r="R56" s="87"/>
    </row>
    <row r="57" spans="2:22">
      <c r="B57" s="5"/>
      <c r="C57" s="201" t="s">
        <v>302</v>
      </c>
      <c r="D57" s="202"/>
      <c r="E57" s="202"/>
      <c r="F57" s="202"/>
      <c r="G57" s="202"/>
      <c r="H57" s="202"/>
      <c r="I57" s="468">
        <v>4330831.7804999994</v>
      </c>
      <c r="J57" s="469"/>
      <c r="K57" s="203"/>
      <c r="L57" s="474">
        <v>8207774.0080000004</v>
      </c>
      <c r="M57" s="475"/>
      <c r="N57" s="182"/>
      <c r="O57" s="6"/>
    </row>
    <row r="58" spans="2:22">
      <c r="B58" s="5"/>
      <c r="C58" s="204" t="s">
        <v>303</v>
      </c>
      <c r="D58" s="197"/>
      <c r="E58" s="197"/>
      <c r="F58" s="197"/>
      <c r="G58" s="197"/>
      <c r="H58" s="197"/>
      <c r="I58" s="476">
        <f>SUM(I59:J62)</f>
        <v>1479718.5515000001</v>
      </c>
      <c r="J58" s="477"/>
      <c r="K58" s="478"/>
      <c r="L58" s="476">
        <f>SUM(L59:M62)</f>
        <v>5903869.6270000003</v>
      </c>
      <c r="M58" s="477"/>
      <c r="N58" s="479"/>
      <c r="O58" s="6"/>
    </row>
    <row r="59" spans="2:22">
      <c r="B59" s="5"/>
      <c r="C59" s="200" t="s">
        <v>304</v>
      </c>
      <c r="D59" s="198"/>
      <c r="E59" s="198"/>
      <c r="F59" s="198"/>
      <c r="G59" s="198"/>
      <c r="H59" s="198"/>
      <c r="I59" s="299">
        <v>1479718.5515000001</v>
      </c>
      <c r="J59" s="300"/>
      <c r="K59" s="199"/>
      <c r="L59" s="299">
        <v>2743834.4169999999</v>
      </c>
      <c r="M59" s="300"/>
      <c r="N59" s="181"/>
      <c r="O59" s="6"/>
      <c r="Q59" s="109"/>
    </row>
    <row r="60" spans="2:22">
      <c r="B60" s="5"/>
      <c r="C60" s="200" t="s">
        <v>305</v>
      </c>
      <c r="D60" s="198"/>
      <c r="E60" s="198"/>
      <c r="F60" s="198"/>
      <c r="G60" s="198"/>
      <c r="H60" s="198"/>
      <c r="I60" s="299">
        <v>0</v>
      </c>
      <c r="J60" s="300"/>
      <c r="K60" s="199"/>
      <c r="L60" s="299">
        <v>3160035.21</v>
      </c>
      <c r="M60" s="300"/>
      <c r="N60" s="181"/>
      <c r="O60" s="6"/>
    </row>
    <row r="61" spans="2:22">
      <c r="B61" s="5"/>
      <c r="C61" s="200" t="s">
        <v>306</v>
      </c>
      <c r="D61" s="198"/>
      <c r="E61" s="198"/>
      <c r="F61" s="198"/>
      <c r="G61" s="198"/>
      <c r="H61" s="198"/>
      <c r="I61" s="299">
        <v>0</v>
      </c>
      <c r="J61" s="300"/>
      <c r="K61" s="199"/>
      <c r="L61" s="299">
        <v>0</v>
      </c>
      <c r="M61" s="300"/>
      <c r="N61" s="181"/>
      <c r="O61" s="6"/>
    </row>
    <row r="62" spans="2:22">
      <c r="B62" s="5"/>
      <c r="C62" s="201" t="s">
        <v>307</v>
      </c>
      <c r="D62" s="202"/>
      <c r="E62" s="202"/>
      <c r="F62" s="202"/>
      <c r="G62" s="202"/>
      <c r="H62" s="202"/>
      <c r="I62" s="468">
        <v>0</v>
      </c>
      <c r="J62" s="469"/>
      <c r="K62" s="203"/>
      <c r="L62" s="468">
        <v>0</v>
      </c>
      <c r="M62" s="469"/>
      <c r="N62" s="182"/>
      <c r="O62" s="6"/>
    </row>
    <row r="63" spans="2:22" ht="15.75" thickBot="1">
      <c r="B63" s="5"/>
      <c r="C63" s="120" t="s">
        <v>308</v>
      </c>
      <c r="D63" s="205"/>
      <c r="E63" s="205"/>
      <c r="F63" s="205"/>
      <c r="G63" s="205"/>
      <c r="H63" s="205"/>
      <c r="I63" s="470">
        <v>1410912363.0565</v>
      </c>
      <c r="J63" s="471"/>
      <c r="K63" s="472"/>
      <c r="L63" s="470">
        <f>J49</f>
        <v>1391877072.9035001</v>
      </c>
      <c r="M63" s="471"/>
      <c r="N63" s="473"/>
      <c r="O63" s="6"/>
    </row>
    <row r="64" spans="2:22" ht="15.75" thickBot="1">
      <c r="B64" s="5"/>
      <c r="C64" s="195"/>
      <c r="D64" s="195"/>
      <c r="E64" s="195"/>
      <c r="F64" s="195"/>
      <c r="G64" s="195"/>
      <c r="H64" s="195"/>
      <c r="I64" s="195"/>
      <c r="J64" s="195"/>
      <c r="K64" s="195"/>
      <c r="L64" s="195"/>
      <c r="M64" s="195"/>
      <c r="N64" s="195"/>
      <c r="O64" s="6"/>
    </row>
    <row r="65" spans="2:17">
      <c r="B65" s="5"/>
      <c r="C65" s="260" t="s">
        <v>309</v>
      </c>
      <c r="D65" s="261"/>
      <c r="E65" s="261"/>
      <c r="F65" s="261"/>
      <c r="G65" s="261"/>
      <c r="H65" s="261"/>
      <c r="I65" s="261"/>
      <c r="J65" s="261"/>
      <c r="K65" s="261"/>
      <c r="L65" s="261"/>
      <c r="M65" s="261"/>
      <c r="N65" s="262"/>
      <c r="O65" s="6"/>
    </row>
    <row r="66" spans="2:17">
      <c r="B66" s="5"/>
      <c r="C66" s="206"/>
      <c r="D66" s="188"/>
      <c r="E66" s="188"/>
      <c r="F66" s="246" t="s">
        <v>145</v>
      </c>
      <c r="G66" s="218"/>
      <c r="H66" s="247"/>
      <c r="I66" s="246" t="s">
        <v>310</v>
      </c>
      <c r="J66" s="218"/>
      <c r="K66" s="247"/>
      <c r="L66" s="246" t="s">
        <v>311</v>
      </c>
      <c r="M66" s="218"/>
      <c r="N66" s="248"/>
      <c r="O66" s="6"/>
    </row>
    <row r="67" spans="2:17">
      <c r="B67" s="5"/>
      <c r="C67" s="119" t="s">
        <v>312</v>
      </c>
      <c r="D67" s="188"/>
      <c r="E67" s="189"/>
      <c r="F67" s="462" t="s">
        <v>313</v>
      </c>
      <c r="G67" s="447"/>
      <c r="H67" s="448"/>
      <c r="I67" s="442">
        <v>0.61456087812570692</v>
      </c>
      <c r="J67" s="443"/>
      <c r="K67" s="444"/>
      <c r="L67" s="463">
        <v>0.6111903373182489</v>
      </c>
      <c r="M67" s="464"/>
      <c r="N67" s="465"/>
      <c r="O67" s="6"/>
    </row>
    <row r="68" spans="2:17">
      <c r="B68" s="5"/>
      <c r="C68" s="119" t="s">
        <v>314</v>
      </c>
      <c r="D68" s="188"/>
      <c r="E68" s="189"/>
      <c r="F68" s="446" t="s">
        <v>315</v>
      </c>
      <c r="G68" s="447"/>
      <c r="H68" s="448"/>
      <c r="I68" s="442">
        <v>0.21642837391685033</v>
      </c>
      <c r="J68" s="443"/>
      <c r="K68" s="444"/>
      <c r="L68" s="463">
        <v>0.18427280447620922</v>
      </c>
      <c r="M68" s="466"/>
      <c r="N68" s="467"/>
      <c r="O68" s="6"/>
    </row>
    <row r="69" spans="2:17">
      <c r="B69" s="5"/>
      <c r="C69" s="119" t="s">
        <v>316</v>
      </c>
      <c r="D69" s="188"/>
      <c r="E69" s="189"/>
      <c r="F69" s="446" t="s">
        <v>317</v>
      </c>
      <c r="G69" s="447"/>
      <c r="H69" s="448"/>
      <c r="I69" s="449">
        <v>34.295580670476625</v>
      </c>
      <c r="J69" s="450"/>
      <c r="K69" s="451"/>
      <c r="L69" s="452">
        <v>35.155157971300227</v>
      </c>
      <c r="M69" s="450"/>
      <c r="N69" s="451"/>
      <c r="O69" s="6"/>
    </row>
    <row r="70" spans="2:17">
      <c r="B70" s="5"/>
      <c r="C70" s="104" t="s">
        <v>318</v>
      </c>
      <c r="D70" s="198"/>
      <c r="E70" s="198"/>
      <c r="F70" s="453" t="s">
        <v>319</v>
      </c>
      <c r="G70" s="454"/>
      <c r="H70" s="455"/>
      <c r="I70" s="456">
        <v>3.2905106931379699E-2</v>
      </c>
      <c r="J70" s="457"/>
      <c r="K70" s="458"/>
      <c r="L70" s="459">
        <v>3.2436584073586475E-2</v>
      </c>
      <c r="M70" s="460"/>
      <c r="N70" s="461"/>
      <c r="O70" s="6"/>
    </row>
    <row r="71" spans="2:17">
      <c r="B71" s="5"/>
      <c r="C71" s="119" t="s">
        <v>320</v>
      </c>
      <c r="D71" s="160"/>
      <c r="E71" s="159"/>
      <c r="F71" s="439">
        <v>0.22</v>
      </c>
      <c r="G71" s="440">
        <v>0.22</v>
      </c>
      <c r="H71" s="441">
        <v>0.22</v>
      </c>
      <c r="I71" s="442">
        <v>0.17278841773834364</v>
      </c>
      <c r="J71" s="443"/>
      <c r="K71" s="444"/>
      <c r="L71" s="442">
        <v>0.17487969119049918</v>
      </c>
      <c r="M71" s="443"/>
      <c r="N71" s="445"/>
      <c r="O71" s="6"/>
    </row>
    <row r="72" spans="2:17">
      <c r="B72" s="5"/>
      <c r="C72" s="119" t="s">
        <v>321</v>
      </c>
      <c r="D72" s="198"/>
      <c r="E72" s="198"/>
      <c r="F72" s="439">
        <v>0.27</v>
      </c>
      <c r="G72" s="440">
        <v>0.27</v>
      </c>
      <c r="H72" s="441">
        <v>0.27</v>
      </c>
      <c r="I72" s="442">
        <v>0.20109572060546058</v>
      </c>
      <c r="J72" s="443"/>
      <c r="K72" s="444"/>
      <c r="L72" s="442">
        <v>0.20362551258228093</v>
      </c>
      <c r="M72" s="443"/>
      <c r="N72" s="445"/>
      <c r="O72" s="6"/>
    </row>
    <row r="73" spans="2:17">
      <c r="B73" s="5"/>
      <c r="C73" s="119" t="s">
        <v>322</v>
      </c>
      <c r="D73" s="160"/>
      <c r="E73" s="159"/>
      <c r="F73" s="439">
        <v>0.32</v>
      </c>
      <c r="G73" s="440">
        <v>0.32</v>
      </c>
      <c r="H73" s="441">
        <v>0.32</v>
      </c>
      <c r="I73" s="442">
        <v>0.22788541776859075</v>
      </c>
      <c r="J73" s="443"/>
      <c r="K73" s="444"/>
      <c r="L73" s="442">
        <v>0.23055053723393581</v>
      </c>
      <c r="M73" s="443"/>
      <c r="N73" s="445"/>
      <c r="O73" s="6"/>
    </row>
    <row r="74" spans="2:17">
      <c r="B74" s="5"/>
      <c r="C74" s="119" t="s">
        <v>323</v>
      </c>
      <c r="D74" s="160"/>
      <c r="E74" s="159"/>
      <c r="F74" s="439">
        <v>0.36</v>
      </c>
      <c r="G74" s="440">
        <v>0.36</v>
      </c>
      <c r="H74" s="441">
        <v>0.36</v>
      </c>
      <c r="I74" s="442">
        <v>0.25332148170827773</v>
      </c>
      <c r="J74" s="443"/>
      <c r="K74" s="444"/>
      <c r="L74" s="442">
        <v>0.2558985846634419</v>
      </c>
      <c r="M74" s="443"/>
      <c r="N74" s="445"/>
      <c r="O74" s="6"/>
    </row>
    <row r="75" spans="2:17" ht="15.75" thickBot="1">
      <c r="B75" s="5"/>
      <c r="C75" s="120" t="s">
        <v>324</v>
      </c>
      <c r="D75" s="205"/>
      <c r="E75" s="205"/>
      <c r="F75" s="432">
        <v>0.47</v>
      </c>
      <c r="G75" s="433">
        <v>0.47</v>
      </c>
      <c r="H75" s="434">
        <v>0.47</v>
      </c>
      <c r="I75" s="435">
        <v>0.27741391022478851</v>
      </c>
      <c r="J75" s="436"/>
      <c r="K75" s="437"/>
      <c r="L75" s="435">
        <v>0.28011228904589536</v>
      </c>
      <c r="M75" s="436"/>
      <c r="N75" s="438"/>
      <c r="O75" s="6"/>
    </row>
    <row r="76" spans="2:17" ht="15.75" thickBot="1">
      <c r="B76" s="5"/>
      <c r="C76" s="195"/>
      <c r="D76" s="195"/>
      <c r="E76" s="195"/>
      <c r="F76" s="195"/>
      <c r="G76" s="195"/>
      <c r="H76" s="195"/>
      <c r="I76" s="195"/>
      <c r="J76" s="195"/>
      <c r="K76" s="195"/>
      <c r="L76" s="195"/>
      <c r="M76" s="195"/>
      <c r="N76" s="195"/>
      <c r="O76" s="6"/>
    </row>
    <row r="77" spans="2:17">
      <c r="B77" s="5"/>
      <c r="C77" s="260" t="s">
        <v>325</v>
      </c>
      <c r="D77" s="261"/>
      <c r="E77" s="261"/>
      <c r="F77" s="261"/>
      <c r="G77" s="239"/>
      <c r="H77" s="239"/>
      <c r="I77" s="261"/>
      <c r="J77" s="261"/>
      <c r="K77" s="261"/>
      <c r="L77" s="261"/>
      <c r="M77" s="261"/>
      <c r="N77" s="262"/>
      <c r="O77" s="6"/>
    </row>
    <row r="78" spans="2:17">
      <c r="B78" s="5"/>
      <c r="C78" s="207" t="s">
        <v>326</v>
      </c>
      <c r="D78" s="160"/>
      <c r="E78" s="160"/>
      <c r="F78" s="160"/>
      <c r="G78" s="246" t="s">
        <v>327</v>
      </c>
      <c r="H78" s="247"/>
      <c r="I78" s="246" t="s">
        <v>328</v>
      </c>
      <c r="J78" s="247"/>
      <c r="K78" s="246" t="s">
        <v>329</v>
      </c>
      <c r="L78" s="247"/>
      <c r="M78" s="218" t="s">
        <v>330</v>
      </c>
      <c r="N78" s="247"/>
      <c r="O78" s="6"/>
    </row>
    <row r="79" spans="2:17">
      <c r="B79" s="5"/>
      <c r="C79" s="208" t="s">
        <v>331</v>
      </c>
      <c r="D79" s="179"/>
      <c r="E79" s="179"/>
      <c r="F79" s="179"/>
      <c r="G79" s="393">
        <v>839236097.82999957</v>
      </c>
      <c r="H79" s="394"/>
      <c r="I79" s="410">
        <f>G79/$G$84</f>
        <v>0.60295274214074568</v>
      </c>
      <c r="J79" s="409"/>
      <c r="K79" s="393">
        <v>154</v>
      </c>
      <c r="L79" s="394"/>
      <c r="M79" s="410">
        <f>K79/$K$84</f>
        <v>0.66379310344827591</v>
      </c>
      <c r="N79" s="409"/>
      <c r="O79" s="6"/>
      <c r="Q79" s="87"/>
    </row>
    <row r="80" spans="2:17">
      <c r="B80" s="5"/>
      <c r="C80" s="208" t="s">
        <v>332</v>
      </c>
      <c r="D80" s="179"/>
      <c r="E80" s="179"/>
      <c r="F80" s="179"/>
      <c r="G80" s="393">
        <v>264030814.3035</v>
      </c>
      <c r="H80" s="394"/>
      <c r="I80" s="410">
        <f t="shared" ref="I80:I83" si="0">G80/$G$84</f>
        <v>0.189694060950888</v>
      </c>
      <c r="J80" s="409"/>
      <c r="K80" s="393">
        <v>27</v>
      </c>
      <c r="L80" s="394"/>
      <c r="M80" s="410">
        <f t="shared" ref="M80:M83" si="1">K80/$K$84</f>
        <v>0.11637931034482758</v>
      </c>
      <c r="N80" s="409"/>
      <c r="O80" s="6"/>
      <c r="P80" s="209"/>
      <c r="Q80" s="87"/>
    </row>
    <row r="81" spans="2:17">
      <c r="B81" s="5"/>
      <c r="C81" s="208" t="s">
        <v>333</v>
      </c>
      <c r="D81" s="179"/>
      <c r="E81" s="179"/>
      <c r="F81" s="179"/>
      <c r="G81" s="393">
        <v>32547012.570000004</v>
      </c>
      <c r="H81" s="394"/>
      <c r="I81" s="410">
        <f t="shared" si="0"/>
        <v>2.3383539540676471E-2</v>
      </c>
      <c r="J81" s="409"/>
      <c r="K81" s="393">
        <v>7</v>
      </c>
      <c r="L81" s="394"/>
      <c r="M81" s="410">
        <f t="shared" si="1"/>
        <v>3.017241379310345E-2</v>
      </c>
      <c r="N81" s="409"/>
      <c r="O81" s="6"/>
      <c r="Q81" s="87"/>
    </row>
    <row r="82" spans="2:17">
      <c r="B82" s="5"/>
      <c r="C82" s="208" t="s">
        <v>334</v>
      </c>
      <c r="D82" s="179"/>
      <c r="E82" s="179"/>
      <c r="F82" s="179"/>
      <c r="G82" s="393">
        <v>44158194.859999999</v>
      </c>
      <c r="H82" s="394"/>
      <c r="I82" s="410">
        <f t="shared" si="0"/>
        <v>3.1725642816922486E-2</v>
      </c>
      <c r="J82" s="409"/>
      <c r="K82" s="393">
        <v>9</v>
      </c>
      <c r="L82" s="394"/>
      <c r="M82" s="410">
        <f t="shared" si="1"/>
        <v>3.8793103448275863E-2</v>
      </c>
      <c r="N82" s="409"/>
      <c r="O82" s="6"/>
      <c r="Q82" s="87"/>
    </row>
    <row r="83" spans="2:17">
      <c r="B83" s="5"/>
      <c r="C83" s="208" t="s">
        <v>335</v>
      </c>
      <c r="D83" s="179"/>
      <c r="E83" s="179"/>
      <c r="F83" s="179"/>
      <c r="G83" s="415">
        <v>211904953.33999997</v>
      </c>
      <c r="H83" s="416"/>
      <c r="I83" s="410">
        <f t="shared" si="0"/>
        <v>0.15224401455076747</v>
      </c>
      <c r="J83" s="409"/>
      <c r="K83" s="393">
        <v>35</v>
      </c>
      <c r="L83" s="394"/>
      <c r="M83" s="410">
        <f t="shared" si="1"/>
        <v>0.15086206896551724</v>
      </c>
      <c r="N83" s="409"/>
      <c r="O83" s="6"/>
      <c r="Q83" s="87"/>
    </row>
    <row r="84" spans="2:17">
      <c r="B84" s="5"/>
      <c r="C84" s="207" t="s">
        <v>336</v>
      </c>
      <c r="D84" s="160"/>
      <c r="E84" s="160"/>
      <c r="F84" s="160"/>
      <c r="G84" s="422">
        <f>SUM(G79:H83)</f>
        <v>1391877072.9034994</v>
      </c>
      <c r="H84" s="423"/>
      <c r="I84" s="426">
        <f>SUM(I79:J83)</f>
        <v>1.0000000000000002</v>
      </c>
      <c r="J84" s="427"/>
      <c r="K84" s="420">
        <f>SUM(K79:L83)</f>
        <v>232</v>
      </c>
      <c r="L84" s="403"/>
      <c r="M84" s="402">
        <f>SUM(M79:N83)</f>
        <v>1</v>
      </c>
      <c r="N84" s="403"/>
      <c r="O84" s="6"/>
    </row>
    <row r="85" spans="2:17">
      <c r="B85" s="5"/>
      <c r="C85" s="195"/>
      <c r="D85" s="195"/>
      <c r="E85" s="195"/>
      <c r="F85" s="195"/>
      <c r="G85" s="195"/>
      <c r="H85" s="195"/>
      <c r="I85" s="195"/>
      <c r="J85" s="195"/>
      <c r="K85" s="195"/>
      <c r="L85" s="195"/>
      <c r="M85" s="195"/>
      <c r="N85" s="195"/>
      <c r="O85" s="6"/>
    </row>
    <row r="86" spans="2:17">
      <c r="B86" s="5"/>
      <c r="C86" s="207" t="s">
        <v>337</v>
      </c>
      <c r="D86" s="160"/>
      <c r="E86" s="160"/>
      <c r="F86" s="160"/>
      <c r="G86" s="246" t="s">
        <v>327</v>
      </c>
      <c r="H86" s="247"/>
      <c r="I86" s="246" t="s">
        <v>328</v>
      </c>
      <c r="J86" s="247"/>
      <c r="K86" s="246" t="s">
        <v>329</v>
      </c>
      <c r="L86" s="247"/>
      <c r="M86" s="218" t="s">
        <v>330</v>
      </c>
      <c r="N86" s="247"/>
      <c r="O86" s="6"/>
    </row>
    <row r="87" spans="2:17">
      <c r="B87" s="5"/>
      <c r="C87" s="208" t="s">
        <v>338</v>
      </c>
      <c r="D87" s="179"/>
      <c r="E87" s="179"/>
      <c r="F87" s="179"/>
      <c r="G87" s="393">
        <v>8174249.3164999988</v>
      </c>
      <c r="H87" s="394"/>
      <c r="I87" s="410">
        <f>G87/$G$92</f>
        <v>5.8728241707784257E-3</v>
      </c>
      <c r="J87" s="409"/>
      <c r="K87" s="393">
        <v>11</v>
      </c>
      <c r="L87" s="394"/>
      <c r="M87" s="413">
        <f>K87/$K$92</f>
        <v>4.7413793103448273E-2</v>
      </c>
      <c r="N87" s="414"/>
      <c r="O87" s="6"/>
    </row>
    <row r="88" spans="2:17">
      <c r="B88" s="5"/>
      <c r="C88" s="208" t="s">
        <v>339</v>
      </c>
      <c r="D88" s="179"/>
      <c r="E88" s="179"/>
      <c r="F88" s="179"/>
      <c r="G88" s="393">
        <v>239092502.67650002</v>
      </c>
      <c r="H88" s="394"/>
      <c r="I88" s="410">
        <f t="shared" ref="I88:I91" si="2">G88/$G$92</f>
        <v>0.17177702494786085</v>
      </c>
      <c r="J88" s="409"/>
      <c r="K88" s="393">
        <v>53</v>
      </c>
      <c r="L88" s="394"/>
      <c r="M88" s="410">
        <f t="shared" ref="M88:M91" si="3">K88/$K$92</f>
        <v>0.22844827586206898</v>
      </c>
      <c r="N88" s="409"/>
      <c r="O88" s="6"/>
    </row>
    <row r="89" spans="2:17">
      <c r="B89" s="5"/>
      <c r="C89" s="208" t="s">
        <v>340</v>
      </c>
      <c r="D89" s="179"/>
      <c r="E89" s="179"/>
      <c r="F89" s="179"/>
      <c r="G89" s="393">
        <v>274850798.87950003</v>
      </c>
      <c r="H89" s="394"/>
      <c r="I89" s="410">
        <f t="shared" si="2"/>
        <v>0.19746772486607062</v>
      </c>
      <c r="J89" s="409"/>
      <c r="K89" s="393">
        <v>60</v>
      </c>
      <c r="L89" s="394"/>
      <c r="M89" s="410">
        <f t="shared" si="3"/>
        <v>0.25862068965517243</v>
      </c>
      <c r="N89" s="409"/>
      <c r="O89" s="6"/>
    </row>
    <row r="90" spans="2:17">
      <c r="B90" s="5"/>
      <c r="C90" s="208" t="s">
        <v>341</v>
      </c>
      <c r="D90" s="179"/>
      <c r="E90" s="179"/>
      <c r="F90" s="179"/>
      <c r="G90" s="393">
        <v>624390465.05849993</v>
      </c>
      <c r="H90" s="394"/>
      <c r="I90" s="410">
        <f t="shared" si="2"/>
        <v>0.44859598395137118</v>
      </c>
      <c r="J90" s="409"/>
      <c r="K90" s="393">
        <v>70</v>
      </c>
      <c r="L90" s="394"/>
      <c r="M90" s="410">
        <f t="shared" si="3"/>
        <v>0.30172413793103448</v>
      </c>
      <c r="N90" s="409"/>
      <c r="O90" s="6"/>
    </row>
    <row r="91" spans="2:17">
      <c r="B91" s="5"/>
      <c r="C91" s="208" t="s">
        <v>342</v>
      </c>
      <c r="D91" s="179"/>
      <c r="E91" s="179"/>
      <c r="F91" s="179"/>
      <c r="G91" s="430">
        <v>245369056.97249994</v>
      </c>
      <c r="H91" s="431"/>
      <c r="I91" s="410">
        <f t="shared" si="2"/>
        <v>0.17628644206391897</v>
      </c>
      <c r="J91" s="409"/>
      <c r="K91" s="393">
        <v>38</v>
      </c>
      <c r="L91" s="394"/>
      <c r="M91" s="399">
        <f t="shared" si="3"/>
        <v>0.16379310344827586</v>
      </c>
      <c r="N91" s="396"/>
      <c r="O91" s="6"/>
    </row>
    <row r="92" spans="2:17">
      <c r="B92" s="5"/>
      <c r="C92" s="207" t="s">
        <v>336</v>
      </c>
      <c r="D92" s="160"/>
      <c r="E92" s="160"/>
      <c r="F92" s="160"/>
      <c r="G92" s="422">
        <f>SUM(G87:H91)</f>
        <v>1391877072.9034998</v>
      </c>
      <c r="H92" s="423"/>
      <c r="I92" s="402">
        <f>SUM(I87:J91)</f>
        <v>1</v>
      </c>
      <c r="J92" s="419"/>
      <c r="K92" s="424">
        <f>SUM(K87:L91)</f>
        <v>232</v>
      </c>
      <c r="L92" s="425"/>
      <c r="M92" s="426">
        <f>SUM(M87:N91)</f>
        <v>1</v>
      </c>
      <c r="N92" s="427"/>
      <c r="O92" s="6"/>
    </row>
    <row r="93" spans="2:17">
      <c r="B93" s="5"/>
      <c r="C93" s="7"/>
      <c r="D93" s="7"/>
      <c r="E93" s="7"/>
      <c r="F93" s="7"/>
      <c r="G93" s="7"/>
      <c r="H93" s="7"/>
      <c r="I93" s="7"/>
      <c r="J93" s="7"/>
      <c r="K93" s="7"/>
      <c r="L93" s="7"/>
      <c r="M93" s="7"/>
      <c r="N93" s="7"/>
      <c r="O93" s="6"/>
    </row>
    <row r="94" spans="2:17">
      <c r="B94" s="5"/>
      <c r="C94" s="207" t="s">
        <v>343</v>
      </c>
      <c r="D94" s="160"/>
      <c r="E94" s="160"/>
      <c r="F94" s="160"/>
      <c r="G94" s="246" t="s">
        <v>327</v>
      </c>
      <c r="H94" s="247"/>
      <c r="I94" s="218" t="s">
        <v>328</v>
      </c>
      <c r="J94" s="247"/>
      <c r="K94" s="246" t="s">
        <v>329</v>
      </c>
      <c r="L94" s="247"/>
      <c r="M94" s="428" t="s">
        <v>330</v>
      </c>
      <c r="N94" s="429"/>
      <c r="O94" s="6"/>
    </row>
    <row r="95" spans="2:17">
      <c r="B95" s="5"/>
      <c r="C95" s="208">
        <v>2007</v>
      </c>
      <c r="D95" s="179"/>
      <c r="E95" s="179"/>
      <c r="F95" s="179"/>
      <c r="G95" s="393">
        <v>0</v>
      </c>
      <c r="H95" s="394"/>
      <c r="I95" s="408">
        <f t="shared" ref="I95:I110" si="4">G95/$G$112</f>
        <v>0</v>
      </c>
      <c r="J95" s="409"/>
      <c r="K95" s="393">
        <v>0</v>
      </c>
      <c r="L95" s="421"/>
      <c r="M95" s="413">
        <f t="shared" ref="M95:M111" si="5">K95/$K$112</f>
        <v>0</v>
      </c>
      <c r="N95" s="414"/>
      <c r="O95" s="6"/>
    </row>
    <row r="96" spans="2:17">
      <c r="B96" s="5"/>
      <c r="C96" s="208">
        <v>2008</v>
      </c>
      <c r="D96" s="179"/>
      <c r="E96" s="179"/>
      <c r="F96" s="179"/>
      <c r="G96" s="393">
        <v>0</v>
      </c>
      <c r="H96" s="394"/>
      <c r="I96" s="408">
        <f t="shared" si="4"/>
        <v>0</v>
      </c>
      <c r="J96" s="409"/>
      <c r="K96" s="393">
        <v>0</v>
      </c>
      <c r="L96" s="421"/>
      <c r="M96" s="410">
        <f t="shared" si="5"/>
        <v>0</v>
      </c>
      <c r="N96" s="409"/>
      <c r="O96" s="6"/>
    </row>
    <row r="97" spans="2:15">
      <c r="B97" s="5"/>
      <c r="C97" s="208">
        <v>2009</v>
      </c>
      <c r="D97" s="179"/>
      <c r="E97" s="179"/>
      <c r="F97" s="179"/>
      <c r="G97" s="393">
        <v>0</v>
      </c>
      <c r="H97" s="394"/>
      <c r="I97" s="408">
        <f t="shared" si="4"/>
        <v>0</v>
      </c>
      <c r="J97" s="409"/>
      <c r="K97" s="393">
        <v>0</v>
      </c>
      <c r="L97" s="421"/>
      <c r="M97" s="410">
        <f t="shared" si="5"/>
        <v>0</v>
      </c>
      <c r="N97" s="409"/>
      <c r="O97" s="6"/>
    </row>
    <row r="98" spans="2:15">
      <c r="B98" s="5"/>
      <c r="C98" s="208">
        <v>2010</v>
      </c>
      <c r="D98" s="179"/>
      <c r="E98" s="179"/>
      <c r="F98" s="179"/>
      <c r="G98" s="393">
        <v>2086658.45</v>
      </c>
      <c r="H98" s="394"/>
      <c r="I98" s="408">
        <f t="shared" si="4"/>
        <v>1.4991686339420507E-3</v>
      </c>
      <c r="J98" s="409"/>
      <c r="K98" s="393">
        <v>2</v>
      </c>
      <c r="L98" s="421"/>
      <c r="M98" s="410">
        <f t="shared" si="5"/>
        <v>8.6206896551724137E-3</v>
      </c>
      <c r="N98" s="409"/>
      <c r="O98" s="6"/>
    </row>
    <row r="99" spans="2:15">
      <c r="B99" s="5"/>
      <c r="C99" s="208">
        <v>2011</v>
      </c>
      <c r="D99" s="179"/>
      <c r="E99" s="179"/>
      <c r="F99" s="179"/>
      <c r="G99" s="393">
        <v>3422795.92</v>
      </c>
      <c r="H99" s="394"/>
      <c r="I99" s="408">
        <f t="shared" si="4"/>
        <v>2.4591222792828527E-3</v>
      </c>
      <c r="J99" s="409"/>
      <c r="K99" s="393">
        <v>2</v>
      </c>
      <c r="L99" s="421"/>
      <c r="M99" s="410">
        <f t="shared" si="5"/>
        <v>8.6206896551724137E-3</v>
      </c>
      <c r="N99" s="409"/>
      <c r="O99" s="6"/>
    </row>
    <row r="100" spans="2:15">
      <c r="B100" s="5"/>
      <c r="C100" s="208">
        <v>2012</v>
      </c>
      <c r="D100" s="179"/>
      <c r="E100" s="179"/>
      <c r="F100" s="179"/>
      <c r="G100" s="393">
        <v>6155873.4000000004</v>
      </c>
      <c r="H100" s="394"/>
      <c r="I100" s="408">
        <f t="shared" si="4"/>
        <v>4.4227134133035563E-3</v>
      </c>
      <c r="J100" s="409"/>
      <c r="K100" s="393">
        <v>3</v>
      </c>
      <c r="L100" s="421"/>
      <c r="M100" s="410">
        <f t="shared" si="5"/>
        <v>1.2931034482758621E-2</v>
      </c>
      <c r="N100" s="409"/>
      <c r="O100" s="6"/>
    </row>
    <row r="101" spans="2:15">
      <c r="B101" s="5"/>
      <c r="C101" s="208">
        <v>2013</v>
      </c>
      <c r="D101" s="179"/>
      <c r="E101" s="179"/>
      <c r="F101" s="179"/>
      <c r="G101" s="393">
        <v>15747078.01</v>
      </c>
      <c r="H101" s="394"/>
      <c r="I101" s="408">
        <f t="shared" si="4"/>
        <v>1.131355513827891E-2</v>
      </c>
      <c r="J101" s="409"/>
      <c r="K101" s="393">
        <v>5</v>
      </c>
      <c r="L101" s="421"/>
      <c r="M101" s="410">
        <f t="shared" si="5"/>
        <v>2.1551724137931036E-2</v>
      </c>
      <c r="N101" s="409"/>
      <c r="O101" s="6"/>
    </row>
    <row r="102" spans="2:15">
      <c r="B102" s="5"/>
      <c r="C102" s="208">
        <v>2014</v>
      </c>
      <c r="D102" s="179"/>
      <c r="E102" s="179"/>
      <c r="F102" s="179"/>
      <c r="G102" s="393">
        <v>0</v>
      </c>
      <c r="H102" s="394"/>
      <c r="I102" s="408">
        <f t="shared" si="4"/>
        <v>0</v>
      </c>
      <c r="J102" s="409"/>
      <c r="K102" s="393">
        <v>0</v>
      </c>
      <c r="L102" s="421"/>
      <c r="M102" s="410">
        <f t="shared" si="5"/>
        <v>0</v>
      </c>
      <c r="N102" s="409"/>
      <c r="O102" s="6"/>
    </row>
    <row r="103" spans="2:15">
      <c r="B103" s="5"/>
      <c r="C103" s="208">
        <v>2015</v>
      </c>
      <c r="D103" s="179"/>
      <c r="E103" s="179"/>
      <c r="F103" s="179"/>
      <c r="G103" s="393">
        <v>5047018.290000001</v>
      </c>
      <c r="H103" s="394"/>
      <c r="I103" s="408">
        <f t="shared" si="4"/>
        <v>3.6260517456988932E-3</v>
      </c>
      <c r="J103" s="409"/>
      <c r="K103" s="393">
        <v>5</v>
      </c>
      <c r="L103" s="421"/>
      <c r="M103" s="410">
        <f t="shared" si="5"/>
        <v>2.1551724137931036E-2</v>
      </c>
      <c r="N103" s="409"/>
      <c r="O103" s="6"/>
    </row>
    <row r="104" spans="2:15">
      <c r="B104" s="5"/>
      <c r="C104" s="208">
        <v>2016</v>
      </c>
      <c r="D104" s="179"/>
      <c r="E104" s="179"/>
      <c r="F104" s="179"/>
      <c r="G104" s="393">
        <v>18984193.510000002</v>
      </c>
      <c r="H104" s="394"/>
      <c r="I104" s="408">
        <f t="shared" si="4"/>
        <v>1.3639274530471552E-2</v>
      </c>
      <c r="J104" s="409"/>
      <c r="K104" s="393">
        <v>7</v>
      </c>
      <c r="L104" s="421"/>
      <c r="M104" s="410">
        <f t="shared" si="5"/>
        <v>3.017241379310345E-2</v>
      </c>
      <c r="N104" s="409"/>
      <c r="O104" s="6"/>
    </row>
    <row r="105" spans="2:15">
      <c r="B105" s="5"/>
      <c r="C105" s="208">
        <v>2017</v>
      </c>
      <c r="D105" s="179"/>
      <c r="E105" s="179"/>
      <c r="F105" s="179"/>
      <c r="G105" s="393">
        <v>109956069.67000002</v>
      </c>
      <c r="H105" s="394"/>
      <c r="I105" s="408">
        <f t="shared" si="4"/>
        <v>7.8998405685803963E-2</v>
      </c>
      <c r="J105" s="409"/>
      <c r="K105" s="393">
        <v>17</v>
      </c>
      <c r="L105" s="421"/>
      <c r="M105" s="410">
        <f t="shared" si="5"/>
        <v>7.3275862068965511E-2</v>
      </c>
      <c r="N105" s="409"/>
      <c r="O105" s="6"/>
    </row>
    <row r="106" spans="2:15">
      <c r="B106" s="5"/>
      <c r="C106" s="208">
        <v>2018</v>
      </c>
      <c r="D106" s="179"/>
      <c r="E106" s="179"/>
      <c r="F106" s="179"/>
      <c r="G106" s="393">
        <v>122775472.64799996</v>
      </c>
      <c r="H106" s="394"/>
      <c r="I106" s="408">
        <f t="shared" si="4"/>
        <v>8.8208560251579124E-2</v>
      </c>
      <c r="J106" s="409"/>
      <c r="K106" s="393">
        <v>19</v>
      </c>
      <c r="L106" s="421"/>
      <c r="M106" s="410">
        <f t="shared" si="5"/>
        <v>8.1896551724137928E-2</v>
      </c>
      <c r="N106" s="409"/>
      <c r="O106" s="6"/>
    </row>
    <row r="107" spans="2:15">
      <c r="B107" s="5"/>
      <c r="C107" s="208">
        <v>2019</v>
      </c>
      <c r="D107" s="179"/>
      <c r="E107" s="179"/>
      <c r="F107" s="179"/>
      <c r="G107" s="393">
        <v>218464278.29550001</v>
      </c>
      <c r="H107" s="394"/>
      <c r="I107" s="408">
        <f t="shared" si="4"/>
        <v>0.15695658944922239</v>
      </c>
      <c r="J107" s="409"/>
      <c r="K107" s="393">
        <v>38</v>
      </c>
      <c r="L107" s="421"/>
      <c r="M107" s="410">
        <f t="shared" si="5"/>
        <v>0.16379310344827586</v>
      </c>
      <c r="N107" s="409"/>
      <c r="O107" s="6"/>
    </row>
    <row r="108" spans="2:15">
      <c r="B108" s="5"/>
      <c r="C108" s="208">
        <v>2020</v>
      </c>
      <c r="D108" s="179"/>
      <c r="E108" s="179"/>
      <c r="F108" s="179"/>
      <c r="G108" s="393">
        <v>294646908.85600001</v>
      </c>
      <c r="H108" s="394"/>
      <c r="I108" s="408">
        <f t="shared" si="4"/>
        <v>0.21169032423341608</v>
      </c>
      <c r="J108" s="409"/>
      <c r="K108" s="393">
        <v>36</v>
      </c>
      <c r="L108" s="421"/>
      <c r="M108" s="410">
        <f t="shared" si="5"/>
        <v>0.15517241379310345</v>
      </c>
      <c r="N108" s="409"/>
      <c r="O108" s="6"/>
    </row>
    <row r="109" spans="2:15">
      <c r="B109" s="5"/>
      <c r="C109" s="208">
        <v>2021</v>
      </c>
      <c r="D109" s="179"/>
      <c r="E109" s="179"/>
      <c r="F109" s="179"/>
      <c r="G109" s="393">
        <v>151456613.88549998</v>
      </c>
      <c r="H109" s="394"/>
      <c r="I109" s="408">
        <f t="shared" si="4"/>
        <v>0.10881464809931575</v>
      </c>
      <c r="J109" s="409"/>
      <c r="K109" s="393">
        <v>37</v>
      </c>
      <c r="L109" s="421"/>
      <c r="M109" s="410">
        <f t="shared" si="5"/>
        <v>0.15948275862068967</v>
      </c>
      <c r="N109" s="409"/>
      <c r="O109" s="6"/>
    </row>
    <row r="110" spans="2:15">
      <c r="B110" s="5"/>
      <c r="C110" s="208">
        <v>2022</v>
      </c>
      <c r="D110" s="179"/>
      <c r="E110" s="179"/>
      <c r="F110" s="179"/>
      <c r="G110" s="393">
        <v>438761907.87849998</v>
      </c>
      <c r="H110" s="394"/>
      <c r="I110" s="408">
        <f t="shared" si="4"/>
        <v>0.3152303579246612</v>
      </c>
      <c r="J110" s="409"/>
      <c r="K110" s="393">
        <v>59</v>
      </c>
      <c r="L110" s="421"/>
      <c r="M110" s="410">
        <f t="shared" si="5"/>
        <v>0.25431034482758619</v>
      </c>
      <c r="N110" s="409"/>
      <c r="O110" s="6"/>
    </row>
    <row r="111" spans="2:15">
      <c r="B111" s="5"/>
      <c r="C111" s="208">
        <v>2023</v>
      </c>
      <c r="D111" s="179"/>
      <c r="E111" s="179"/>
      <c r="F111" s="179"/>
      <c r="G111" s="415">
        <v>4372204.09</v>
      </c>
      <c r="H111" s="416"/>
      <c r="I111" s="399">
        <v>0</v>
      </c>
      <c r="J111" s="396"/>
      <c r="K111" s="415">
        <v>2</v>
      </c>
      <c r="L111" s="416"/>
      <c r="M111" s="410">
        <f t="shared" si="5"/>
        <v>8.6206896551724137E-3</v>
      </c>
      <c r="N111" s="409"/>
      <c r="O111" s="6"/>
    </row>
    <row r="112" spans="2:15">
      <c r="B112" s="5"/>
      <c r="C112" s="207" t="s">
        <v>336</v>
      </c>
      <c r="D112" s="160"/>
      <c r="E112" s="160"/>
      <c r="F112" s="160"/>
      <c r="G112" s="417">
        <f>SUM(G95:H111)</f>
        <v>1391877072.9034998</v>
      </c>
      <c r="H112" s="418"/>
      <c r="I112" s="402">
        <f>SUM(I95:J111)</f>
        <v>0.99685877138497636</v>
      </c>
      <c r="J112" s="419"/>
      <c r="K112" s="420">
        <f>SUM(K95:L111)</f>
        <v>232</v>
      </c>
      <c r="L112" s="403"/>
      <c r="M112" s="402">
        <f>SUM(M95:N111)</f>
        <v>0.99999999999999989</v>
      </c>
      <c r="N112" s="403"/>
      <c r="O112" s="6"/>
    </row>
    <row r="113" spans="2:15">
      <c r="B113" s="5"/>
      <c r="C113" s="7"/>
      <c r="D113" s="7"/>
      <c r="E113" s="7"/>
      <c r="F113" s="7"/>
      <c r="G113" s="7"/>
      <c r="H113" s="7"/>
      <c r="I113" s="7"/>
      <c r="J113" s="7"/>
      <c r="K113" s="7"/>
      <c r="L113" s="7"/>
      <c r="M113" s="7"/>
      <c r="N113" s="7"/>
      <c r="O113" s="6"/>
    </row>
    <row r="114" spans="2:15">
      <c r="B114" s="5"/>
      <c r="C114" s="207" t="s">
        <v>344</v>
      </c>
      <c r="D114" s="160"/>
      <c r="E114" s="160"/>
      <c r="F114" s="160"/>
      <c r="G114" s="246" t="s">
        <v>327</v>
      </c>
      <c r="H114" s="247"/>
      <c r="I114" s="246" t="s">
        <v>328</v>
      </c>
      <c r="J114" s="247"/>
      <c r="K114" s="246" t="s">
        <v>329</v>
      </c>
      <c r="L114" s="247"/>
      <c r="M114" s="218" t="s">
        <v>330</v>
      </c>
      <c r="N114" s="247"/>
      <c r="O114" s="6"/>
    </row>
    <row r="115" spans="2:15">
      <c r="B115" s="5"/>
      <c r="C115" s="208" t="s">
        <v>345</v>
      </c>
      <c r="D115" s="179"/>
      <c r="E115" s="179"/>
      <c r="F115" s="179"/>
      <c r="G115" s="411">
        <v>0</v>
      </c>
      <c r="H115" s="412"/>
      <c r="I115" s="408">
        <f>G115/$G$121</f>
        <v>0</v>
      </c>
      <c r="J115" s="409"/>
      <c r="K115" s="397">
        <v>0</v>
      </c>
      <c r="L115" s="398"/>
      <c r="M115" s="413">
        <f>K115/$K$121</f>
        <v>0</v>
      </c>
      <c r="N115" s="414"/>
      <c r="O115" s="6"/>
    </row>
    <row r="116" spans="2:15">
      <c r="B116" s="5"/>
      <c r="C116" s="208" t="s">
        <v>346</v>
      </c>
      <c r="D116" s="179"/>
      <c r="E116" s="179"/>
      <c r="F116" s="179"/>
      <c r="G116" s="393">
        <v>90914350.549999997</v>
      </c>
      <c r="H116" s="394"/>
      <c r="I116" s="408">
        <f t="shared" ref="I116:I120" si="6">G116/$G$121</f>
        <v>6.5317801636282272E-2</v>
      </c>
      <c r="J116" s="409"/>
      <c r="K116" s="397">
        <v>5</v>
      </c>
      <c r="L116" s="398"/>
      <c r="M116" s="410">
        <f t="shared" ref="M116:M120" si="7">K116/$K$121</f>
        <v>2.1551724137931036E-2</v>
      </c>
      <c r="N116" s="409"/>
      <c r="O116" s="6"/>
    </row>
    <row r="117" spans="2:15">
      <c r="B117" s="5"/>
      <c r="C117" s="208" t="s">
        <v>347</v>
      </c>
      <c r="D117" s="179"/>
      <c r="E117" s="179"/>
      <c r="F117" s="179"/>
      <c r="G117" s="393">
        <v>432200705.71249998</v>
      </c>
      <c r="H117" s="394"/>
      <c r="I117" s="408">
        <f t="shared" si="6"/>
        <v>0.31051643433634235</v>
      </c>
      <c r="J117" s="409"/>
      <c r="K117" s="397">
        <v>42</v>
      </c>
      <c r="L117" s="398"/>
      <c r="M117" s="410">
        <f t="shared" si="7"/>
        <v>0.18103448275862069</v>
      </c>
      <c r="N117" s="409"/>
      <c r="O117" s="6"/>
    </row>
    <row r="118" spans="2:15">
      <c r="B118" s="5"/>
      <c r="C118" s="208" t="s">
        <v>348</v>
      </c>
      <c r="D118" s="179"/>
      <c r="E118" s="179"/>
      <c r="F118" s="179"/>
      <c r="G118" s="393">
        <v>660480540.62699986</v>
      </c>
      <c r="H118" s="394"/>
      <c r="I118" s="408">
        <f t="shared" si="6"/>
        <v>0.47452505216514301</v>
      </c>
      <c r="J118" s="409"/>
      <c r="K118" s="397">
        <v>138</v>
      </c>
      <c r="L118" s="398"/>
      <c r="M118" s="410">
        <f t="shared" si="7"/>
        <v>0.59482758620689657</v>
      </c>
      <c r="N118" s="409"/>
      <c r="O118" s="6"/>
    </row>
    <row r="119" spans="2:15">
      <c r="B119" s="5"/>
      <c r="C119" s="208" t="s">
        <v>349</v>
      </c>
      <c r="D119" s="179"/>
      <c r="E119" s="179"/>
      <c r="F119" s="179"/>
      <c r="G119" s="393">
        <v>203015717.31750011</v>
      </c>
      <c r="H119" s="394"/>
      <c r="I119" s="408">
        <f t="shared" si="6"/>
        <v>0.14585750514160195</v>
      </c>
      <c r="J119" s="409"/>
      <c r="K119" s="397">
        <v>44</v>
      </c>
      <c r="L119" s="398"/>
      <c r="M119" s="410">
        <f t="shared" si="7"/>
        <v>0.18965517241379309</v>
      </c>
      <c r="N119" s="409"/>
      <c r="O119" s="6"/>
    </row>
    <row r="120" spans="2:15">
      <c r="B120" s="5"/>
      <c r="C120" s="208" t="s">
        <v>350</v>
      </c>
      <c r="D120" s="179"/>
      <c r="E120" s="179"/>
      <c r="F120" s="179"/>
      <c r="G120" s="393">
        <v>5265758.6964998245</v>
      </c>
      <c r="H120" s="394"/>
      <c r="I120" s="395">
        <f t="shared" si="6"/>
        <v>3.783206720630353E-3</v>
      </c>
      <c r="J120" s="396"/>
      <c r="K120" s="397">
        <v>3</v>
      </c>
      <c r="L120" s="398"/>
      <c r="M120" s="399">
        <f t="shared" si="7"/>
        <v>1.2931034482758621E-2</v>
      </c>
      <c r="N120" s="396"/>
      <c r="O120" s="6"/>
    </row>
    <row r="121" spans="2:15">
      <c r="B121" s="5"/>
      <c r="C121" s="207" t="s">
        <v>336</v>
      </c>
      <c r="D121" s="160"/>
      <c r="E121" s="160"/>
      <c r="F121" s="160"/>
      <c r="G121" s="400">
        <f>SUM(G115:H120)</f>
        <v>1391877072.9034998</v>
      </c>
      <c r="H121" s="401"/>
      <c r="I121" s="402">
        <f>SUM(I115:J120)</f>
        <v>0.99999999999999989</v>
      </c>
      <c r="J121" s="403"/>
      <c r="K121" s="404">
        <f>SUM(K115:L120)</f>
        <v>232</v>
      </c>
      <c r="L121" s="405"/>
      <c r="M121" s="406">
        <f>SUM(M115:N120)</f>
        <v>1</v>
      </c>
      <c r="N121" s="407"/>
      <c r="O121" s="6"/>
    </row>
    <row r="122" spans="2:15" ht="15.75" thickBot="1">
      <c r="B122" s="169"/>
      <c r="C122" s="170"/>
      <c r="D122" s="170"/>
      <c r="E122" s="170"/>
      <c r="F122" s="170"/>
      <c r="G122" s="170"/>
      <c r="H122" s="170"/>
      <c r="I122" s="170"/>
      <c r="J122" s="170"/>
      <c r="K122" s="170"/>
      <c r="L122" s="170"/>
      <c r="M122" s="170"/>
      <c r="N122" s="170"/>
      <c r="O122" s="107"/>
    </row>
    <row r="184" spans="11:11">
      <c r="K184" s="1">
        <v>2457389.4</v>
      </c>
    </row>
  </sheetData>
  <mergeCells count="267">
    <mergeCell ref="C3:N4"/>
    <mergeCell ref="C6:N6"/>
    <mergeCell ref="J8:N8"/>
    <mergeCell ref="J9:N9"/>
    <mergeCell ref="C10:E11"/>
    <mergeCell ref="J10:N10"/>
    <mergeCell ref="J11:N11"/>
    <mergeCell ref="C17:E18"/>
    <mergeCell ref="J17:N17"/>
    <mergeCell ref="J18:N18"/>
    <mergeCell ref="J19:N19"/>
    <mergeCell ref="J20:N20"/>
    <mergeCell ref="C22:N22"/>
    <mergeCell ref="J12:N12"/>
    <mergeCell ref="C13:E14"/>
    <mergeCell ref="J13:N13"/>
    <mergeCell ref="J14:N14"/>
    <mergeCell ref="J15:N15"/>
    <mergeCell ref="J16:N16"/>
    <mergeCell ref="J29:N29"/>
    <mergeCell ref="J30:M30"/>
    <mergeCell ref="J31:M31"/>
    <mergeCell ref="C32:N32"/>
    <mergeCell ref="J33:N33"/>
    <mergeCell ref="J34:M34"/>
    <mergeCell ref="C23:N23"/>
    <mergeCell ref="J24:N24"/>
    <mergeCell ref="C25:N25"/>
    <mergeCell ref="J26:N26"/>
    <mergeCell ref="J27:M27"/>
    <mergeCell ref="J28:M28"/>
    <mergeCell ref="J41:M41"/>
    <mergeCell ref="J42:N42"/>
    <mergeCell ref="J43:N43"/>
    <mergeCell ref="J44:N44"/>
    <mergeCell ref="J45:N45"/>
    <mergeCell ref="J46:M46"/>
    <mergeCell ref="J35:M35"/>
    <mergeCell ref="J36:M36"/>
    <mergeCell ref="C37:N37"/>
    <mergeCell ref="J38:N38"/>
    <mergeCell ref="J39:M39"/>
    <mergeCell ref="J40:M40"/>
    <mergeCell ref="I53:K53"/>
    <mergeCell ref="L53:N53"/>
    <mergeCell ref="I54:K54"/>
    <mergeCell ref="L54:N54"/>
    <mergeCell ref="I55:J55"/>
    <mergeCell ref="L55:M55"/>
    <mergeCell ref="J47:M47"/>
    <mergeCell ref="C48:N48"/>
    <mergeCell ref="J49:N49"/>
    <mergeCell ref="C51:N51"/>
    <mergeCell ref="I52:K52"/>
    <mergeCell ref="L52:N52"/>
    <mergeCell ref="I59:J59"/>
    <mergeCell ref="L59:M59"/>
    <mergeCell ref="I60:J60"/>
    <mergeCell ref="L60:M60"/>
    <mergeCell ref="I61:J61"/>
    <mergeCell ref="L61:M61"/>
    <mergeCell ref="I56:J56"/>
    <mergeCell ref="L56:M56"/>
    <mergeCell ref="I57:J57"/>
    <mergeCell ref="L57:M57"/>
    <mergeCell ref="I58:K58"/>
    <mergeCell ref="L58:N58"/>
    <mergeCell ref="F67:H67"/>
    <mergeCell ref="I67:K67"/>
    <mergeCell ref="L67:N67"/>
    <mergeCell ref="F68:H68"/>
    <mergeCell ref="I68:K68"/>
    <mergeCell ref="L68:N68"/>
    <mergeCell ref="I62:J62"/>
    <mergeCell ref="L62:M62"/>
    <mergeCell ref="I63:K63"/>
    <mergeCell ref="L63:N63"/>
    <mergeCell ref="C65:N65"/>
    <mergeCell ref="F66:H66"/>
    <mergeCell ref="I66:K66"/>
    <mergeCell ref="L66:N66"/>
    <mergeCell ref="F71:H71"/>
    <mergeCell ref="I71:K71"/>
    <mergeCell ref="L71:N71"/>
    <mergeCell ref="F72:H72"/>
    <mergeCell ref="I72:K72"/>
    <mergeCell ref="L72:N72"/>
    <mergeCell ref="F69:H69"/>
    <mergeCell ref="I69:K69"/>
    <mergeCell ref="L69:N69"/>
    <mergeCell ref="F70:H70"/>
    <mergeCell ref="I70:K70"/>
    <mergeCell ref="L70:N70"/>
    <mergeCell ref="F75:H75"/>
    <mergeCell ref="I75:K75"/>
    <mergeCell ref="L75:N75"/>
    <mergeCell ref="C77:N77"/>
    <mergeCell ref="G78:H78"/>
    <mergeCell ref="I78:J78"/>
    <mergeCell ref="K78:L78"/>
    <mergeCell ref="M78:N78"/>
    <mergeCell ref="F73:H73"/>
    <mergeCell ref="I73:K73"/>
    <mergeCell ref="L73:N73"/>
    <mergeCell ref="F74:H74"/>
    <mergeCell ref="I74:K74"/>
    <mergeCell ref="L74:N74"/>
    <mergeCell ref="G81:H81"/>
    <mergeCell ref="I81:J81"/>
    <mergeCell ref="K81:L81"/>
    <mergeCell ref="M81:N81"/>
    <mergeCell ref="G82:H82"/>
    <mergeCell ref="I82:J82"/>
    <mergeCell ref="K82:L82"/>
    <mergeCell ref="M82:N82"/>
    <mergeCell ref="G79:H79"/>
    <mergeCell ref="I79:J79"/>
    <mergeCell ref="K79:L79"/>
    <mergeCell ref="M79:N79"/>
    <mergeCell ref="G80:H80"/>
    <mergeCell ref="I80:J80"/>
    <mergeCell ref="K80:L80"/>
    <mergeCell ref="M80:N80"/>
    <mergeCell ref="G86:H86"/>
    <mergeCell ref="I86:J86"/>
    <mergeCell ref="K86:L86"/>
    <mergeCell ref="M86:N86"/>
    <mergeCell ref="G87:H87"/>
    <mergeCell ref="I87:J87"/>
    <mergeCell ref="K87:L87"/>
    <mergeCell ref="M87:N87"/>
    <mergeCell ref="G83:H83"/>
    <mergeCell ref="I83:J83"/>
    <mergeCell ref="K83:L83"/>
    <mergeCell ref="M83:N83"/>
    <mergeCell ref="G84:H84"/>
    <mergeCell ref="I84:J84"/>
    <mergeCell ref="K84:L84"/>
    <mergeCell ref="M84:N84"/>
    <mergeCell ref="G90:H90"/>
    <mergeCell ref="I90:J90"/>
    <mergeCell ref="K90:L90"/>
    <mergeCell ref="M90:N90"/>
    <mergeCell ref="G91:H91"/>
    <mergeCell ref="I91:J91"/>
    <mergeCell ref="K91:L91"/>
    <mergeCell ref="M91:N91"/>
    <mergeCell ref="G88:H88"/>
    <mergeCell ref="I88:J88"/>
    <mergeCell ref="K88:L88"/>
    <mergeCell ref="M88:N88"/>
    <mergeCell ref="G89:H89"/>
    <mergeCell ref="I89:J89"/>
    <mergeCell ref="K89:L89"/>
    <mergeCell ref="M89:N89"/>
    <mergeCell ref="G95:H95"/>
    <mergeCell ref="I95:J95"/>
    <mergeCell ref="K95:L95"/>
    <mergeCell ref="M95:N95"/>
    <mergeCell ref="G96:H96"/>
    <mergeCell ref="I96:J96"/>
    <mergeCell ref="K96:L96"/>
    <mergeCell ref="M96:N96"/>
    <mergeCell ref="G92:H92"/>
    <mergeCell ref="I92:J92"/>
    <mergeCell ref="K92:L92"/>
    <mergeCell ref="M92:N92"/>
    <mergeCell ref="G94:H94"/>
    <mergeCell ref="I94:J94"/>
    <mergeCell ref="K94:L94"/>
    <mergeCell ref="M94:N94"/>
    <mergeCell ref="G99:H99"/>
    <mergeCell ref="I99:J99"/>
    <mergeCell ref="K99:L99"/>
    <mergeCell ref="M99:N99"/>
    <mergeCell ref="G100:H100"/>
    <mergeCell ref="I100:J100"/>
    <mergeCell ref="K100:L100"/>
    <mergeCell ref="M100:N100"/>
    <mergeCell ref="G97:H97"/>
    <mergeCell ref="I97:J97"/>
    <mergeCell ref="K97:L97"/>
    <mergeCell ref="M97:N97"/>
    <mergeCell ref="G98:H98"/>
    <mergeCell ref="I98:J98"/>
    <mergeCell ref="K98:L98"/>
    <mergeCell ref="M98:N98"/>
    <mergeCell ref="G103:H103"/>
    <mergeCell ref="I103:J103"/>
    <mergeCell ref="K103:L103"/>
    <mergeCell ref="M103:N103"/>
    <mergeCell ref="G104:H104"/>
    <mergeCell ref="I104:J104"/>
    <mergeCell ref="K104:L104"/>
    <mergeCell ref="M104:N104"/>
    <mergeCell ref="G101:H101"/>
    <mergeCell ref="I101:J101"/>
    <mergeCell ref="K101:L101"/>
    <mergeCell ref="M101:N101"/>
    <mergeCell ref="G102:H102"/>
    <mergeCell ref="I102:J102"/>
    <mergeCell ref="K102:L102"/>
    <mergeCell ref="M102:N102"/>
    <mergeCell ref="G107:H107"/>
    <mergeCell ref="I107:J107"/>
    <mergeCell ref="K107:L107"/>
    <mergeCell ref="M107:N107"/>
    <mergeCell ref="G108:H108"/>
    <mergeCell ref="I108:J108"/>
    <mergeCell ref="K108:L108"/>
    <mergeCell ref="M108:N108"/>
    <mergeCell ref="G105:H105"/>
    <mergeCell ref="I105:J105"/>
    <mergeCell ref="K105:L105"/>
    <mergeCell ref="M105:N105"/>
    <mergeCell ref="G106:H106"/>
    <mergeCell ref="I106:J106"/>
    <mergeCell ref="K106:L106"/>
    <mergeCell ref="M106:N106"/>
    <mergeCell ref="G111:H111"/>
    <mergeCell ref="I111:J111"/>
    <mergeCell ref="K111:L111"/>
    <mergeCell ref="M111:N111"/>
    <mergeCell ref="G112:H112"/>
    <mergeCell ref="I112:J112"/>
    <mergeCell ref="K112:L112"/>
    <mergeCell ref="M112:N112"/>
    <mergeCell ref="G109:H109"/>
    <mergeCell ref="I109:J109"/>
    <mergeCell ref="K109:L109"/>
    <mergeCell ref="M109:N109"/>
    <mergeCell ref="G110:H110"/>
    <mergeCell ref="I110:J110"/>
    <mergeCell ref="K110:L110"/>
    <mergeCell ref="M110:N110"/>
    <mergeCell ref="G116:H116"/>
    <mergeCell ref="I116:J116"/>
    <mergeCell ref="K116:L116"/>
    <mergeCell ref="M116:N116"/>
    <mergeCell ref="G117:H117"/>
    <mergeCell ref="I117:J117"/>
    <mergeCell ref="K117:L117"/>
    <mergeCell ref="M117:N117"/>
    <mergeCell ref="G114:H114"/>
    <mergeCell ref="I114:J114"/>
    <mergeCell ref="K114:L114"/>
    <mergeCell ref="M114:N114"/>
    <mergeCell ref="G115:H115"/>
    <mergeCell ref="I115:J115"/>
    <mergeCell ref="K115:L115"/>
    <mergeCell ref="M115:N115"/>
    <mergeCell ref="G120:H120"/>
    <mergeCell ref="I120:J120"/>
    <mergeCell ref="K120:L120"/>
    <mergeCell ref="M120:N120"/>
    <mergeCell ref="G121:H121"/>
    <mergeCell ref="I121:J121"/>
    <mergeCell ref="K121:L121"/>
    <mergeCell ref="M121:N121"/>
    <mergeCell ref="G118:H118"/>
    <mergeCell ref="I118:J118"/>
    <mergeCell ref="K118:L118"/>
    <mergeCell ref="M118:N118"/>
    <mergeCell ref="G119:H119"/>
    <mergeCell ref="I119:J119"/>
    <mergeCell ref="K119:L119"/>
    <mergeCell ref="M119:N1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CBF554220BF2499ADD23B390874F60" ma:contentTypeVersion="16" ma:contentTypeDescription="Create a new document." ma:contentTypeScope="" ma:versionID="0b1401607088dd2e4c43b6d7ad9cb31f">
  <xsd:schema xmlns:xsd="http://www.w3.org/2001/XMLSchema" xmlns:xs="http://www.w3.org/2001/XMLSchema" xmlns:p="http://schemas.microsoft.com/office/2006/metadata/properties" xmlns:ns2="18709e2e-4da8-42d3-bf03-d1d83e4744e5" xmlns:ns3="a23105ca-3395-4058-8284-88e334f7b956" targetNamespace="http://schemas.microsoft.com/office/2006/metadata/properties" ma:root="true" ma:fieldsID="3231b2d7a4438a535ae1dab591ecbea2" ns2:_="" ns3:_="">
    <xsd:import namespace="18709e2e-4da8-42d3-bf03-d1d83e4744e5"/>
    <xsd:import namespace="a23105ca-3395-4058-8284-88e334f7b9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709e2e-4da8-42d3-bf03-d1d83e4744e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8d0eebc-1016-4285-9cc5-e3d70dd17829}" ma:internalName="TaxCatchAll" ma:showField="CatchAllData" ma:web="18709e2e-4da8-42d3-bf03-d1d83e4744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3105ca-3395-4058-8284-88e334f7b9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e379127-f9a3-4ce9-b5c2-480bec3eeaf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23105ca-3395-4058-8284-88e334f7b956">
      <Terms xmlns="http://schemas.microsoft.com/office/infopath/2007/PartnerControls"/>
    </lcf76f155ced4ddcb4097134ff3c332f>
    <TaxCatchAll xmlns="18709e2e-4da8-42d3-bf03-d1d83e4744e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8A1FF0-210D-46CA-ACE5-A46BFE882C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709e2e-4da8-42d3-bf03-d1d83e4744e5"/>
    <ds:schemaRef ds:uri="a23105ca-3395-4058-8284-88e334f7b9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C7BE34-9E19-4708-BF89-C46DB40E94B3}">
  <ds:schemaRefs>
    <ds:schemaRef ds:uri="http://schemas.microsoft.com/office/2006/metadata/properties"/>
    <ds:schemaRef ds:uri="http://schemas.microsoft.com/office/infopath/2007/PartnerControls"/>
    <ds:schemaRef ds:uri="a23105ca-3395-4058-8284-88e334f7b956"/>
    <ds:schemaRef ds:uri="18709e2e-4da8-42d3-bf03-d1d83e4744e5"/>
  </ds:schemaRefs>
</ds:datastoreItem>
</file>

<file path=customXml/itemProps3.xml><?xml version="1.0" encoding="utf-8"?>
<ds:datastoreItem xmlns:ds="http://schemas.openxmlformats.org/officeDocument/2006/customXml" ds:itemID="{CEA51680-CBEF-41F4-850A-A7756AD21E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Admin Report</vt:lpstr>
      <vt:lpstr>Servicer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Tebogo Moseamedi</dc:creator>
  <cp:lastModifiedBy>Tebogo Moseamedi</cp:lastModifiedBy>
  <dcterms:created xsi:type="dcterms:W3CDTF">2023-05-15T15:52:22Z</dcterms:created>
  <dcterms:modified xsi:type="dcterms:W3CDTF">2023-05-15T16:22:34Z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0x0101006ECBF554220BF2499ADD23B390874F60</vt:lpwstr>
  </property>
</Properties>
</file>