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Tebogo\OneDrive - Trust for Urban Housing Finance LTD\Documents\Finance Reports\Reports for 2022\Urban Ubomi 1\Investor Reports\4. Feb 2022\"/>
    </mc:Choice>
  </mc:AlternateContent>
  <xr:revisionPtr revIDLastSave="0" documentId="13_ncr:1_{67A511EF-7AAC-4B6E-925D-2D893B9FDD6F}" xr6:coauthVersionLast="47" xr6:coauthVersionMax="47" xr10:uidLastSave="{00000000-0000-0000-0000-000000000000}"/>
  <bookViews>
    <workbookView xWindow="-108" yWindow="-108" windowWidth="23256" windowHeight="12576" activeTab="1" xr2:uid="{607DE4B7-A2F9-4130-8FAE-F9B0C5FA0D17}"/>
  </bookViews>
  <sheets>
    <sheet name="Admin Report" sheetId="1" r:id="rId1"/>
    <sheet name="Servicer Report" sheetId="2" r:id="rId2"/>
  </sheets>
  <externalReferences>
    <externalReference r:id="rId3"/>
  </externalReferences>
  <definedNames>
    <definedName name="_Fill" hidden="1">#REF!</definedName>
    <definedName name="_Parse_In" hidden="1">#REF!</definedName>
    <definedName name="_Parse_Out" hidden="1">#REF!</definedName>
    <definedName name="a" hidden="1">{#N/A,#N/A,FALSE,"Glossary"}</definedName>
    <definedName name="adfads" hidden="1">{#N/A,#N/A,FALSE,"Glossary"}</definedName>
    <definedName name="cube" hidden="1">{#N/A,#N/A,FALSE,"Glossary"}</definedName>
    <definedName name="Data">#REF!</definedName>
    <definedName name="Datatape">#REF!</definedName>
    <definedName name="deletename" hidden="1">#REF!</definedName>
    <definedName name="deletename1" hidden="1">#REF!</definedName>
    <definedName name="ff" hidden="1">#REF!</definedName>
    <definedName name="Recon2" hidden="1">#REF!</definedName>
    <definedName name="wrn.Report1." hidden="1">{#N/A,#N/A,FALSE,"Glossary"}</definedName>
  </definedNames>
  <calcPr calcId="191029"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58" i="2" l="1"/>
  <c r="L58" i="2"/>
  <c r="L54" i="2"/>
  <c r="I54" i="2"/>
  <c r="J45" i="2"/>
  <c r="J26" i="2"/>
  <c r="J11" i="2"/>
  <c r="J12" i="2" s="1"/>
  <c r="J8" i="2"/>
  <c r="I216" i="1"/>
  <c r="L208" i="1"/>
  <c r="I207" i="1"/>
  <c r="L207" i="1" s="1"/>
  <c r="I204" i="1"/>
  <c r="I198" i="1"/>
  <c r="I201" i="1" s="1"/>
  <c r="I191" i="1"/>
  <c r="I187" i="1"/>
  <c r="I188" i="1" s="1"/>
  <c r="F183" i="1"/>
  <c r="L183" i="1" s="1"/>
  <c r="L182" i="1"/>
  <c r="L181" i="1"/>
  <c r="L180" i="1"/>
  <c r="L176" i="1"/>
  <c r="L175" i="1"/>
  <c r="L174" i="1"/>
  <c r="L173" i="1" s="1"/>
  <c r="F173" i="1"/>
  <c r="L172" i="1"/>
  <c r="L171" i="1"/>
  <c r="L170" i="1"/>
  <c r="L169" i="1"/>
  <c r="L168" i="1"/>
  <c r="F168" i="1"/>
  <c r="L167" i="1"/>
  <c r="L165" i="1"/>
  <c r="L164" i="1"/>
  <c r="L163" i="1"/>
  <c r="L162" i="1"/>
  <c r="L157" i="1"/>
  <c r="L156" i="1"/>
  <c r="L155" i="1"/>
  <c r="L152" i="1"/>
  <c r="L148" i="1"/>
  <c r="L147" i="1"/>
  <c r="L146" i="1"/>
  <c r="L145" i="1"/>
  <c r="L142" i="1"/>
  <c r="F140" i="1"/>
  <c r="F139" i="1"/>
  <c r="L139" i="1" s="1"/>
  <c r="L137" i="1" s="1"/>
  <c r="L138" i="1"/>
  <c r="F138" i="1"/>
  <c r="S94" i="1"/>
  <c r="J84" i="1"/>
  <c r="J79" i="1"/>
  <c r="J77" i="1"/>
  <c r="J72" i="1"/>
  <c r="J69" i="1"/>
  <c r="J63" i="1"/>
  <c r="J60" i="1"/>
  <c r="M49" i="1"/>
  <c r="K49" i="1"/>
  <c r="I49" i="1"/>
  <c r="G49" i="1"/>
  <c r="G47" i="1"/>
  <c r="I46" i="1"/>
  <c r="I47" i="1" s="1"/>
  <c r="M32" i="1"/>
  <c r="K32" i="1"/>
  <c r="I32" i="1"/>
  <c r="M30" i="1"/>
  <c r="M29" i="1"/>
  <c r="K29" i="1"/>
  <c r="K30" i="1" s="1"/>
  <c r="I29" i="1"/>
  <c r="I30" i="1" s="1"/>
  <c r="G29" i="1"/>
  <c r="G206" i="1" s="1"/>
  <c r="M28" i="1"/>
  <c r="K28" i="1"/>
  <c r="I28" i="1"/>
  <c r="G28" i="1"/>
  <c r="J15" i="1"/>
  <c r="J16" i="1" s="1"/>
  <c r="J14" i="1"/>
  <c r="E206" i="1" s="1"/>
  <c r="J13" i="1"/>
  <c r="J11" i="1"/>
  <c r="J12" i="1" s="1"/>
  <c r="J10" i="1"/>
  <c r="J9" i="1"/>
  <c r="J8" i="1" s="1"/>
  <c r="F158" i="1" l="1"/>
  <c r="L158" i="1" s="1"/>
  <c r="J95" i="1"/>
  <c r="I34" i="1"/>
  <c r="G34" i="1"/>
  <c r="L141" i="1"/>
  <c r="L140" i="1" s="1"/>
  <c r="G30" i="1"/>
  <c r="G32" i="1"/>
  <c r="L136" i="1"/>
  <c r="I192" i="1"/>
  <c r="F166" i="1" s="1"/>
  <c r="L166" i="1" s="1"/>
  <c r="F137" i="1"/>
  <c r="K34" i="1"/>
  <c r="K46" i="1"/>
  <c r="J75" i="1"/>
  <c r="K47" i="1" l="1"/>
  <c r="M46" i="1"/>
  <c r="M47" i="1" s="1"/>
  <c r="M34" i="1"/>
  <c r="I53" i="2" l="1"/>
  <c r="K36" i="1" l="1"/>
  <c r="K40" i="1"/>
  <c r="M40" i="1"/>
  <c r="M36" i="1"/>
  <c r="I40" i="1"/>
  <c r="I36" i="1"/>
  <c r="J56" i="1"/>
  <c r="F151" i="1" l="1"/>
  <c r="L151" i="1" s="1"/>
  <c r="I37" i="1"/>
  <c r="I38" i="1" s="1"/>
  <c r="J93" i="1"/>
  <c r="J55" i="1"/>
  <c r="F154" i="1"/>
  <c r="L154" i="1" s="1"/>
  <c r="M37" i="1"/>
  <c r="M38" i="1"/>
  <c r="K37" i="1"/>
  <c r="K38" i="1" s="1"/>
  <c r="F153" i="1"/>
  <c r="L153" i="1" s="1"/>
  <c r="G36" i="1" l="1"/>
  <c r="G37" i="1" l="1"/>
  <c r="G38" i="1"/>
  <c r="F150" i="1"/>
  <c r="F149" i="1" l="1"/>
  <c r="L150" i="1"/>
  <c r="L149" i="1" s="1"/>
  <c r="I212" i="1" l="1"/>
  <c r="L206" i="1"/>
  <c r="I211" i="1" s="1"/>
  <c r="F179" i="1" l="1"/>
  <c r="F178" i="1" l="1"/>
  <c r="L179" i="1"/>
  <c r="I214" i="1" l="1"/>
  <c r="I215" i="1" s="1"/>
  <c r="I218" i="1" s="1"/>
  <c r="L178" i="1"/>
  <c r="K84" i="2" l="1"/>
  <c r="M80" i="2" s="1"/>
  <c r="M79" i="2"/>
  <c r="M83" i="2"/>
  <c r="M81" i="2"/>
  <c r="I79" i="2"/>
  <c r="G84" i="2"/>
  <c r="I80" i="2" s="1"/>
  <c r="M82" i="2"/>
  <c r="I83" i="2"/>
  <c r="M84" i="2" l="1"/>
  <c r="I107" i="2"/>
  <c r="K110" i="2"/>
  <c r="M95" i="2" s="1"/>
  <c r="M105" i="2"/>
  <c r="G110" i="2"/>
  <c r="I100" i="2" s="1"/>
  <c r="I108" i="2"/>
  <c r="I81" i="2"/>
  <c r="I84" i="2" s="1"/>
  <c r="I82" i="2"/>
  <c r="I101" i="2"/>
  <c r="I98" i="2"/>
  <c r="M107" i="2" l="1"/>
  <c r="M98" i="2"/>
  <c r="M97" i="2"/>
  <c r="M100" i="2"/>
  <c r="M96" i="2"/>
  <c r="M110" i="2" s="1"/>
  <c r="I106" i="2"/>
  <c r="M109" i="2"/>
  <c r="M99" i="2"/>
  <c r="M108" i="2"/>
  <c r="K119" i="2"/>
  <c r="M118" i="2" s="1"/>
  <c r="I97" i="2"/>
  <c r="I96" i="2"/>
  <c r="I104" i="2"/>
  <c r="M101" i="2"/>
  <c r="M106" i="2"/>
  <c r="I102" i="2"/>
  <c r="I99" i="2"/>
  <c r="I105" i="2"/>
  <c r="M102" i="2"/>
  <c r="I95" i="2"/>
  <c r="I110" i="2" s="1"/>
  <c r="I103" i="2"/>
  <c r="I109" i="2"/>
  <c r="M103" i="2"/>
  <c r="M104" i="2"/>
  <c r="M113" i="2" l="1"/>
  <c r="M119" i="2" s="1"/>
  <c r="M115" i="2"/>
  <c r="M114" i="2"/>
  <c r="M116" i="2"/>
  <c r="M117" i="2"/>
  <c r="G119" i="2" l="1"/>
  <c r="G92" i="2"/>
  <c r="I91" i="2" s="1"/>
  <c r="K92" i="2" l="1"/>
  <c r="I87" i="2"/>
  <c r="I89" i="2"/>
  <c r="I88" i="2"/>
  <c r="I90" i="2"/>
  <c r="I113" i="2"/>
  <c r="I114" i="2"/>
  <c r="I115" i="2"/>
  <c r="I116" i="2"/>
  <c r="I117" i="2"/>
  <c r="I118" i="2"/>
  <c r="I92" i="2" l="1"/>
  <c r="M88" i="2"/>
  <c r="M87" i="2"/>
  <c r="M89" i="2"/>
  <c r="M90" i="2"/>
  <c r="I119" i="2"/>
  <c r="M91" i="2"/>
  <c r="M92" i="2" l="1"/>
  <c r="L63" i="2" l="1"/>
  <c r="L53" i="2" s="1"/>
  <c r="F143" i="1" l="1"/>
  <c r="L144" i="1"/>
  <c r="L143" i="1" s="1"/>
  <c r="J103" i="1" l="1"/>
  <c r="J87" i="1"/>
  <c r="J81" i="1" s="1"/>
  <c r="J29" i="2"/>
  <c r="J68" i="1" l="1"/>
  <c r="J33" i="2" l="1"/>
  <c r="J76" i="1" l="1"/>
  <c r="J38" i="2" l="1"/>
  <c r="J67" i="1"/>
  <c r="J66" i="1" l="1"/>
  <c r="J94" i="1" s="1"/>
  <c r="J92" i="1" s="1"/>
  <c r="J100" i="1"/>
  <c r="J99" i="1" s="1"/>
  <c r="F161" i="1" l="1"/>
  <c r="I108" i="1"/>
  <c r="S95" i="1"/>
  <c r="I136" i="1"/>
  <c r="I184" i="1" l="1"/>
  <c r="L184" i="1" s="1"/>
  <c r="I137" i="1"/>
  <c r="G39" i="1"/>
  <c r="G40" i="1" s="1"/>
  <c r="F160" i="1"/>
  <c r="L161" i="1"/>
  <c r="L160" i="1" l="1"/>
  <c r="L159" i="1" s="1"/>
  <c r="F159" i="1"/>
  <c r="L177" i="1"/>
  <c r="G41" i="1"/>
  <c r="M41" i="1"/>
  <c r="I41" i="1"/>
  <c r="K41" i="1"/>
  <c r="I140" i="1"/>
  <c r="I139" i="1"/>
  <c r="I138" i="1"/>
  <c r="J19" i="1" l="1"/>
  <c r="F184" i="1"/>
  <c r="M43" i="1"/>
  <c r="I43" i="1"/>
  <c r="G43" i="1"/>
  <c r="K43" i="1"/>
  <c r="I143" i="1"/>
  <c r="I142" i="1"/>
  <c r="I141" i="1"/>
  <c r="I145" i="1" l="1"/>
  <c r="I147" i="1"/>
  <c r="I148" i="1" s="1"/>
  <c r="I149" i="1" s="1"/>
  <c r="I144" i="1"/>
  <c r="I146" i="1"/>
  <c r="I151" i="1" l="1"/>
  <c r="I153" i="1"/>
  <c r="I154" i="1" s="1"/>
  <c r="I150" i="1"/>
  <c r="I152" i="1"/>
  <c r="I158" i="1" l="1"/>
  <c r="I159" i="1" s="1"/>
  <c r="I155" i="1"/>
  <c r="I156" i="1" s="1"/>
  <c r="I109" i="1" l="1"/>
  <c r="I110" i="1" s="1"/>
  <c r="I157" i="1"/>
  <c r="I166" i="1"/>
  <c r="I167" i="1" s="1"/>
  <c r="I168" i="1" s="1"/>
  <c r="I164" i="1"/>
  <c r="I163" i="1"/>
  <c r="I162" i="1"/>
  <c r="I165" i="1"/>
  <c r="I161" i="1"/>
  <c r="I160" i="1"/>
  <c r="I171" i="1" l="1"/>
  <c r="I172" i="1" s="1"/>
  <c r="I173" i="1" s="1"/>
  <c r="I170" i="1"/>
  <c r="I169" i="1"/>
  <c r="I175" i="1" l="1"/>
  <c r="I176" i="1" s="1"/>
  <c r="I177" i="1" s="1"/>
  <c r="I178" i="1" s="1"/>
  <c r="I174" i="1"/>
  <c r="I183" i="1" l="1"/>
  <c r="I182" i="1"/>
  <c r="I179" i="1"/>
  <c r="I180" i="1" s="1"/>
  <c r="I18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tc={12D51F79-B24D-4242-A989-B691A34E2788}</author>
    <author>tc={3B720F1A-5210-4890-B7B5-E18B8BE42875}</author>
    <author>tc={F1E6635E-3BC5-43D9-9FA7-E70366A28B76}</author>
    <author>tc={F316407C-4D0A-426B-AE11-4268FECB1545}</author>
    <author>tc={D6F07452-974F-410E-A426-BC9AB92B7B59}</author>
    <author>tc={A8C0BFAD-4B4C-4AD5-9C5D-1519D6328228}</author>
    <author>tc={56A48758-177B-4B66-8456-D63F33516BFA}</author>
    <author>tc={7744C012-F1CA-4084-B0E8-2BE42A9CFEEA}</author>
    <author>tc={2F5A0B23-5DF4-421F-8133-B4799BCCD4AE}</author>
    <author>tc={C4550818-1857-4623-ACBE-D6E9416689DA}</author>
    <author>tc={209C8338-1B74-4DF3-ABEB-082CE3A9B5A6}</author>
    <author>tc={8769613B-8967-4E26-8369-34303CAD12BD}</author>
    <author>tc={5C1BF657-A869-4D91-82C3-5E2D8E7F9170}</author>
    <author>tc={BF45BDF2-0EE2-4162-823C-4FC5CF65915B}</author>
    <author>tc={A4664CFB-1C86-4594-A5DC-C3354A33C417}</author>
    <author>tc={A16E03D1-7C2F-41A8-AFA1-A0DFE187331A}</author>
    <author>tc={D7F02526-972A-413B-8C65-FC0ADE05DD05}</author>
    <author>tc={65DA55CF-5666-47FF-8D42-2E49454009BB}</author>
    <author>tc={C82F6470-F70E-4753-B109-1A9A836D7A47}</author>
    <author>tc={E3979E7F-D465-4601-8F3D-EFF08B47B641}</author>
    <author>tc={B34C523F-862F-4458-B20E-7FE0386134AE}</author>
    <author>tc={27358FAB-AE52-4DA3-BE82-E18AEC6517AC}</author>
    <author>tc={31636532-AA0C-4101-AE98-37981992C040}</author>
    <author>tc={A14B9DAD-044A-4B7F-A9C7-C1D334AFD8DB}</author>
    <author>tc={03DF9CEE-F0A7-4A2C-878B-B0683DFBFEBF}</author>
    <author>tc={6ECCB06E-6F47-437B-AC6E-C85B40A9C80D}</author>
    <author>tc={D08ECC3A-0108-4D2A-B1BB-8A0D40D67766}</author>
    <author>tc={19D40C2B-4C62-42EB-8B4C-F0EA0881E62E}</author>
    <author>tc={D8EFAF45-2185-448C-822B-3294A14B37EE}</author>
    <author>tc={AA331D2C-04A7-4352-B46A-00B54AA522B0}</author>
    <author>tc={7F14970E-47A6-4FEA-8752-D675582C8437}</author>
    <author>tc={4E89DE16-AE83-4886-A5DC-961F414CAA68}</author>
    <author>tc={0BAC8CEE-2EE4-4D39-AE99-4BA5BB34ABD1}</author>
    <author>tc={39B75775-D3A1-4D8C-B131-008AEA94957C}</author>
    <author>tc={10399754-8D0F-405F-9B2B-41B111A4BA45}</author>
    <author>tc={38A2D290-5CAB-4EF9-8066-4622616CE99F}</author>
    <author>tc={18B0F5D4-549C-43C5-9D77-545F68499C0F}</author>
    <author>tc={B190DE05-F48B-4A9C-9B14-2FAC0AF82B9E}</author>
    <author>tc={566675D8-9190-4EAC-A7B6-23C8E6B6472A}</author>
    <author>tc={0B67ABE6-878A-4D32-A180-42CD93DB5942}</author>
  </authors>
  <commentList>
    <comment ref="C8" authorId="0" shapeId="0" xr:uid="{12D51F79-B24D-4242-A989-B691A34E2788}">
      <text>
        <t>[Threaded comment]
Your version of Excel allows you to read this threaded comment; however, any edits to it will get removed if the file is opened in a newer version of Excel. Learn more: https://go.microsoft.com/fwlink/?linkid=870924
Comment:
    1.141.13	Administrator Report Date means the fifteenth twelfth day after each Determination Date, or if any such day is not a Business Day, then the immediately succeeding day that is a Business Day;</t>
      </text>
    </comment>
    <comment ref="C9" authorId="1" shapeId="0" xr:uid="{3B720F1A-5210-4890-B7B5-E18B8BE42875}">
      <text>
        <t>[Threaded comment]
Your version of Excel allows you to read this threaded comment; however, any edits to it will get removed if the file is opened in a newer version of Excel. Learn more: https://go.microsoft.com/fwlink/?linkid=870924
Comment:
    1.1021.100	Determination Date means the last Business Day of [December, March, June and September], save for the first Determination Date which will be the date specified in the APS;</t>
      </text>
    </comment>
    <comment ref="C12" authorId="2" shapeId="0" xr:uid="{F1E6635E-3BC5-43D9-9FA7-E70366A28B76}">
      <text>
        <t>[Threaded comment]
Your version of Excel allows you to read this threaded comment; however, any edits to it will get removed if the file is opened in a newer version of Excel. Learn more: https://go.microsoft.com/fwlink/?linkid=870924
Comment:
    1.751.73	Collection Period means each period beginning on (and excluding) a Determination Date and ending on (and including) the immediately following Determination Date, provided that the first Collection Period shall begin on (and include) the Initial Issue Date;</t>
      </text>
    </comment>
    <comment ref="C67" authorId="3" shapeId="0" xr:uid="{F316407C-4D0A-426B-AE11-4268FECB1545}">
      <text>
        <t>[Threaded comment]
Your version of Excel allows you to read this threaded comment; however, any edits to it will get removed if the file is opened in a newer version of Excel. Learn more: https://go.microsoft.com/fwlink/?linkid=870924
Comment:
    1.2591.251	Repayments means repayments of principal received under a Loan Agreement, being scheduled instalments received, less interest owing during the immediately preceding interest period in terms of the Loan Agreement;</t>
      </text>
    </comment>
    <comment ref="C68" authorId="4" shapeId="0" xr:uid="{D6F07452-974F-410E-A426-BC9AB92B7B59}">
      <text>
        <t>[Threaded comment]
Your version of Excel allows you to read this threaded comment; however, any edits to it will get removed if the file is opened in a newer version of Excel. Learn more: https://go.microsoft.com/fwlink/?linkid=870924
Comment:
    1.2201.211	Prepayments means principal repayments received under a Loan Agreement in excess of the minimum Instalments which a Borrower is obliged to pay;</t>
      </text>
    </comment>
    <comment ref="C72" authorId="5" shapeId="0" xr:uid="{A8C0BFAD-4B4C-4AD5-9C5D-1519D6328228}">
      <text>
        <t>[Threaded comment]
Your version of Excel allows you to read this threaded comment; however, any edits to it will get removed if the file is opened in a newer version of Excel. Learn more: https://go.microsoft.com/fwlink/?linkid=870924
Comment:
    1.1411.137	Insurance Proceeds means the proceeds of any claim under any of the Insurance Policies;
1.1401.136	Insurance Policies means any insurance policies, taken out or to be taken out in relation to the Properties by or on behalf of the Borrower, including public liability, business interruption, loss of income, SASRIA and building insurance;</t>
      </text>
    </comment>
    <comment ref="C81" authorId="6" shapeId="0" xr:uid="{56A48758-177B-4B66-8456-D63F33516BFA}">
      <text>
        <t>[Threaded comment]
Your version of Excel allows you to read this threaded comment; however, any edits to it will get removed if the file is opened in a newer version of Excel. Learn more: https://go.microsoft.com/fwlink/?linkid=870924
Comment:
    1.1121.110	Excluded Items means:
1.112.11.110.1	monies which properly belong to third parties (including monies owing to any party in respect of reimbursement for direct debit recalls and insurance premiums owing to insurers);
1.112.21.110.2	amounts payable to the Seller under the Sale Agreement in respect of reconciliations of the amounts paid in respect of the purchase of Relevant Assets on any day;
1.112.31.110.3	amounts payable to the Seller in terms of the Sale Agreement in respect of the purchase consideration for the acquisition of Relevant Assets from the Seller, to the extent that such purchase consideration is paid using the funds in the Capital Reserve or the net proceeds received by the Issuer from Notes issued for this purpose (including Pre-Funding Amounts during the Pre-Funding Period) and/or net proceeds received by the Issuer under the Subordinated Loan Agreement for this purpose;
1.112.41.110.4	provided that a Stop-Lending Trigger Event has not occurred, amounts corresponding to the aggregate advances which are advanced by the Issuer to Borrowers on any day, in accordance with the provisions of the Sale Agreement, to the extent that such advances are made using the funds in the Capital Reserve or the Available Internal Funds or the Available External Funds;
1.112.51.110.5	the repayment to the Liquidity Facility Provider, upon the Latest Coupon Step-Up Date, of the unutilised portion of the Liquidity Facility drawn-down and invested in Permitted Investments (which draw-down occurs in the event of the Liquidity Facility Provider being downgraded below the Required Credit Rating or the Liquidity Facility not being renewed or replaced on an annual basis); 
1.112.61.110.6	any amounts paid by the Servicer into the Transaction Account in terms of the Servicing Agreement in respect of instalments owing under a Participating Asset but unpaid on any Determination Date for non-credit related reasons, which instalments have subsequently been received by the Issuer;
1.112.71.110.7	amounts payable to Noteholders in respect of the redemption of Refinanced Notes using the net proceeds from the issue of Refinancing Notes pursuant to exercise of the Refinancing Option; and
1.112.8	amounts payable to Noteholders in respect of the redemption of Notes using the net proceeds from the issue of Notes pursuant to the exercise of the Step-Up Call Option;
all of which items rank above all other items in the Priority of Payments, and the payment of which is not restricted to Interest Payment Dates;</t>
      </text>
    </comment>
    <comment ref="C99" authorId="7" shapeId="0" xr:uid="{7744C012-F1CA-4084-B0E8-2BE42A9CFEEA}">
      <text>
        <t>[Threaded comment]
Your version of Excel allows you to read this threaded comment; however, any edits to it will get removed if the file is opened in a newer version of Excel. Learn more: https://go.microsoft.com/fwlink/?linkid=870924
Comment:
    1.2131.204	Potential Redemption Amount means an amount determined on each Determination Date as follows:
1.213.11.204.1	Principal Collections (including the proceeds from the sale of Participating Assets during the immediately preceding Collection Period)(excluding recoveries post write off); plus
1.213.21.204.2	a positive amount equal to principal losses realised upon completion of the enforcement and recovery process in relation to defaulting Participating Assets during the immediately preceding Collection Period; plus
1.213.31.204.3	an amount equal to the Principal Deficiency recorded on the previous Determination Date; less
1.213.41.204.4	Repayments and Prepayments used to advance Redraws, Re-Advances and Further Advances during the immediately preceding Collection Period; plus
1.213.51.204.5	the increase, if any, in the principal amount outstanding under the Liquidity Facility during the immediately preceding Collection Period; plus
1.213.61.204.6	any amounts standing to the credit of the Capital Reserve for two consecutive Interest Payment Dates in excess of ZAR10 000 000;
provided that the Potential Redemption Amount shall never be less than zero;</t>
      </text>
    </comment>
    <comment ref="C110" authorId="8" shapeId="0" xr:uid="{2F5A0B23-5DF4-421F-8133-B4799BCCD4AE}">
      <text>
        <t>[Threaded comment]
Your version of Excel allows you to read this threaded comment; however, any edits to it will get removed if the file is opened in a newer version of Excel. Learn more: https://go.microsoft.com/fwlink/?linkid=870924
Comment:
    1.1	Principal Deficiency means the amount, if any, by which the Potential Redemption Amount exceeds the remaining cash in the Pre-Enforcement Priority of Payments on any Determination Date after the payment of or provision for items 1 to [10] (both inclusive) in the Pre-Enforcement Priority of Payments;</t>
      </text>
    </comment>
    <comment ref="C114" authorId="9" shapeId="0" xr:uid="{C4550818-1857-4623-ACBE-D6E9416689DA}">
      <text>
        <t>[Threaded comment]
Your version of Excel allows you to read this threaded comment; however, any edits to it will get removed if the file is opened in a newer version of Excel. Learn more: https://go.microsoft.com/fwlink/?linkid=870924
Comment:
    1.641.63	Class B Interest Deferral Event means the first occurrence on which there are Class A Notes outstanding and where the Principal Deficiency on the immediately preceding Interest Payment Date after the application of funds in accordance with the Priority of Payments exceeds the then aggregate Outstanding Principal Amount of the Class C Notes on such Interest Payment Date;</t>
      </text>
    </comment>
    <comment ref="C115" authorId="10" shapeId="0" xr:uid="{209C8338-1B74-4DF3-ABEB-082CE3A9B5A6}">
      <text>
        <t>[Threaded comment]
Your version of Excel allows you to read this threaded comment; however, any edits to it will get removed if the file is opened in a newer version of Excel. Learn more: https://go.microsoft.com/fwlink/?linkid=870924
Comment:
    1.681.67	Class C Interest Deferral Event means the first occurrence on which there are Class B Notes outstanding and where there is a Principal Deficiency on the immediately preceding Interest Payment Date after the application of funds in accordance with the Priority of Payments;</t>
      </text>
    </comment>
    <comment ref="C121" authorId="11" shapeId="0" xr:uid="{8769613B-8967-4E26-8369-34303CAD12BD}">
      <text>
        <t>[Threaded comment]
Your version of Excel allows you to read this threaded comment; however, any edits to it will get removed if the file is opened in a newer version of Excel. Learn more: https://go.microsoft.com/fwlink/?linkid=870924
Comment:
    If applicable, shall occur on any Interest Payment Date prior to the Latest Coupon Step-Up Date provided that the aggregate Outstanding Principal Amount on the Class A1 Notes and the Class A2 Notes is greater than the Class A Redemption Amount and that no Event of Default has occurred</t>
      </text>
    </comment>
    <comment ref="C130" authorId="12" shapeId="0" xr:uid="{5C1BF657-A869-4D91-82C3-5E2D8E7F9170}">
      <text>
        <t>[Threaded comment]
Your version of Excel allows you to read this threaded comment; however, any edits to it will get removed if the file is opened in a newer version of Excel. Learn more: https://go.microsoft.com/fwlink/?linkid=870924
Comment:
    1.661.65	Class B Principal Lock-Out shall occur on any Interest Payment Date on which, if prior to the allocation of the Redemption Amount in accordance with the Priority of Payments, there are Class A Notes outstanding, and:
1.66.11.65.1	a Class A Principal Lock-Out is in place;
1.66.21.65.2	where, if after the allocation of the Redemption Amount in accordance with the Priority of Payments as determined on the immediately preceding Determination Date, the sum of the aggregate Outstanding Principal Amount of the Class B Notes and the Class C Notes as a percentage of the sum of the aggregate Outstanding Principal Amount of all the Notes is not at least [twice] that same percentage as at the most recent Issue Date during the Issue Period;
1.66.31.65.3	where the sum of the aggregate Outstanding Principal Amount of all the Notes is less than [10]% of the aggregate Outstanding Principal Amount of all the Notes as at the most recent Issue Date during the Issue Period;
1.66.41.65.4	where a Principal Deficiency exists on the immediately preceding Interest Payment Date;
1.66.51.65.5	where the aggregate Principal Balances of Non-Performing Assets exceeds [3.5]% of the then aggregate Principal Balances of the Participating Assets, in each case as at the immediately preceding Determination Date;
1.66.61.65.6	where the aggregate Outstanding Principal Amount of the Class B Notes and the Class C Notes is less than [2] times the Principal Balance of the largest Participating Asset or group of Participating Asset in the name of a single Borrower as at the immediately preceding Determination Date; or
1.66.71.65.7	where the Arrears Reserve is not funded at the Arrears Reserve Required Amount, as at the immediately preceding Interest Payment Date;</t>
      </text>
    </comment>
    <comment ref="C132" authorId="13" shapeId="0" xr:uid="{BF45BDF2-0EE2-4162-823C-4FC5CF65915B}">
      <text>
        <t>[Threaded comment]
Your version of Excel allows you to read this threaded comment; however, any edits to it will get removed if the file is opened in a newer version of Excel. Learn more: https://go.microsoft.com/fwlink/?linkid=870924
Comment:
    1.701.69	Class C Principal Lock-Out shall occur on any Interest Payment Date on which, if prior to the allocation of the Redemption Amount in accordance with the Priority of Payments, there are Class B Notes outstanding;</t>
      </text>
    </comment>
    <comment ref="C136" authorId="14" shapeId="0" xr:uid="{A4664CFB-1C86-4594-A5DC-C3354A33C417}">
      <text>
        <t>[Threaded comment]
Your version of Excel allows you to read this threaded comment; however, any edits to it will get removed if the file is opened in a newer version of Excel. Learn more: https://go.microsoft.com/fwlink/?linkid=870924
Comment:
    1.1	first, to pay or provide for the Issuer’s liability or potential liability for Tax;</t>
      </text>
    </comment>
    <comment ref="C137" authorId="15" shapeId="0" xr:uid="{A16E03D1-7C2F-41A8-AFA1-A0DFE187331A}">
      <text>
        <t>[Threaded comment]
Your version of Excel allows you to read this threaded comment; however, any edits to it will get removed if the file is opened in a newer version of Excel. Learn more: https://go.microsoft.com/fwlink/?linkid=870924
Comment:
    1.2	second, to pay or provide for pari passu and pro rata:
1.2.1	the remuneration due and payable to the Security SPV (inclusive of VAT, if any) and any fees, costs, charges, liabilities and expenses (inclusive of VAT, if any) incurred by the Security SPV under the provisions of the Security Agreements and/or any of the Transaction Documents and/or the Notes; and
1.2.2	the remuneration due and payable to the Owner Trustee (inclusive of VAT, if any) and any fees, costs, charges, liabilities and expenses (inclusive of VAT, if any) incurred by such trustee under the provisions of the Owner Trust Deed, the Security Agreements and/or any of the Transaction Documents and/or the Notes;</t>
      </text>
    </comment>
    <comment ref="C140" authorId="16" shapeId="0" xr:uid="{D7F02526-972A-413B-8C65-FC0ADE05DD05}">
      <text>
        <t>[Threaded comment]
Your version of Excel allows you to read this threaded comment; however, any edits to it will get removed if the file is opened in a newer version of Excel. Learn more: https://go.microsoft.com/fwlink/?linkid=870924
Comment:
    1.3	third, to pay or provide for pari passu and pro rata all fees, costs, charges, liabilities and expenses (inclusive of VAT, if any) incurred by the Issuer, which are due and payable or expected to become due and payable by the Issuer on or after such Interest Payment Date (prior to the next Interest Payment Date) to:
1.3.1	the Account Bank in accordance with the Bank Agreement; and
1.3.2	third parties, 
and incurred without breach by the Issuer of its obligations under the Transaction Documents and not provided for payment elsewhere (including payment of the Rating Agency (in the event of Rated Notes), the JSE, audit fees, any fees, premiums or commissions due upon the execution of any Derivative Contract and company secretarial expenses);</t>
      </text>
    </comment>
    <comment ref="C143" authorId="17" shapeId="0" xr:uid="{65DA55CF-5666-47FF-8D42-2E49454009BB}">
      <text>
        <t>[Threaded comment]
Your version of Excel allows you to read this threaded comment; however, any edits to it will get removed if the file is opened in a newer version of Excel. Learn more: https://go.microsoft.com/fwlink/?linkid=870924
Comment:
    1.4	fourth, to pay or provide for pari passu and pro rata:
1.4.1	the Servicing Fee due and payable to the Servicer on such Interest Payment Date (inclusive of VAT, if any) together with costs and expenses which are due and payable or expected to become due and payable to the Servicer under the Servicing Agreement prior to the next Interest Payment Date;
1.4.2	the Back-Up Servicing Fee due and payable to the Back-Up Servicer on such Interest Payment Date (inclusive of VAT, if any) together with costs and expenses which are due and payable or expected to become due and payable to the Back-Up Servicer under the Servicing Agreement prior to the next Interest Payment Date;
1.4.3	the Administrator Fee due and payable to the Administrator on such Interest Payment Date (inclusive of VAT, if any) together with costs and expenses which are due and payable or expected to become due and payable to the Administrator under the Administration Agreement prior to the next Interest Payment Date; and
1.4.4	the Back-Up Administrator Fee due and payable to the Back-Up Administrator on such Interest Payment Date (inclusive of VAT, if any) together with costs and expenses which are due and payable or expected to become due and payable to the Administrator under the Administration Agreement prior to the next Interest Payment Date;</t>
      </text>
    </comment>
    <comment ref="C147" authorId="18" shapeId="0" xr:uid="{C82F6470-F70E-4753-B109-1A9A836D7A47}">
      <text>
        <t>[Threaded comment]
Your version of Excel allows you to read this threaded comment; however, any edits to it will get removed if the file is opened in a newer version of Excel. Learn more: https://go.microsoft.com/fwlink/?linkid=870924
Comment:
    1.5	fifth, to pay or provide for pari passu and pro rata any net settlement amounts and Derivative Termination Amounts due and payable to any Derivative Counterparty in accordance with the Derivative Contracts (but excluding any Derivative Termination Amounts where the Derivative Counterparty is in default);</t>
      </text>
    </comment>
    <comment ref="C148" authorId="19" shapeId="0" xr:uid="{E3979E7F-D465-4601-8F3D-EFF08B47B641}">
      <text>
        <t>[Threaded comment]
Your version of Excel allows you to read this threaded comment; however, any edits to it will get removed if the file is opened in a newer version of Excel. Learn more: https://go.microsoft.com/fwlink/?linkid=870924
Comment:
    1.6	sixth, to pay all amounts due and payable under the Liquidity Facility other than in respect of principal;</t>
      </text>
    </comment>
    <comment ref="C149" authorId="20" shapeId="0" xr:uid="{B34C523F-862F-4458-B20E-7FE0386134AE}">
      <text>
        <t>[Threaded comment]
Your version of Excel allows you to read this threaded comment; however, any edits to it will get removed if the file is opened in a newer version of Excel. Learn more: https://go.microsoft.com/fwlink/?linkid=870924
Comment:
    1.7	seventh, to pay or provide for pari passu and pro rata:
1.7.1	for all amounts due and payable in respect of the Class A1 Notes other than in respect of principal on the Class A1 Notes; 
1.7.2	all amounts due and payable in respect of the Class A2 Notes other than in respect of principal on the Class A2 Notes; and
1.7.3	all amounts due and payable in respect of the Class A3 Notes other than in respect of principal on the Class A3 Notes;</t>
      </text>
    </comment>
    <comment ref="C153" authorId="21" shapeId="0" xr:uid="{27358FAB-AE52-4DA3-BE82-E18AEC6517AC}">
      <text>
        <t>[Threaded comment]
Your version of Excel allows you to read this threaded comment; however, any edits to it will get removed if the file is opened in a newer version of Excel. Learn more: https://go.microsoft.com/fwlink/?linkid=870924
Comment:
    1.8	eighth, subject to a Class B Interest Deferral Event not having occurred on or prior to that Interest Payment Date, to pay or provide for all amounts due and payable in respect of the Class B Notes other than in respect of principal on the Class B Notes;</t>
      </text>
    </comment>
    <comment ref="C154" authorId="22" shapeId="0" xr:uid="{31636532-AA0C-4101-AE98-37981992C040}">
      <text>
        <t>[Threaded comment]
Your version of Excel allows you to read this threaded comment; however, any edits to it will get removed if the file is opened in a newer version of Excel. Learn more: https://go.microsoft.com/fwlink/?linkid=870924
Comment:
    1.9	ninth, in the event only that a substitute Servicer assumes the role of Servicer, to pay or provide the Subordinated Servicing Fee, if any (inclusive of VAT, if any) due and payable to the substitute Servicer on such Interest Payment Date;</t>
      </text>
    </comment>
    <comment ref="C155" authorId="23" shapeId="0" xr:uid="{A14B9DAD-044A-4B7F-A9C7-C1D334AFD8DB}">
      <text>
        <t>[Threaded comment]
Your version of Excel allows you to read this threaded comment; however, any edits to it will get removed if the file is opened in a newer version of Excel. Learn more: https://go.microsoft.com/fwlink/?linkid=870924
Comment:
    1.10	tenth, subject to a Class C Interest Deferral Event not having occurred on or prior to that Interest Payment Date, to pay or to provide for all amounts due and payable in respect of the Class C Notes other than in respect of principal on the Class C Notes;</t>
      </text>
    </comment>
    <comment ref="C156" authorId="24" shapeId="0" xr:uid="{03DF9CEE-F0A7-4A2C-878B-B0683DFBFEBF}">
      <text>
        <t>[Threaded comment]
Your version of Excel allows you to read this threaded comment; however, any edits to it will get removed if the file is opened in a newer version of Excel. Learn more: https://go.microsoft.com/fwlink/?linkid=870924
Comment:
    1.11	eleventh, to repay all principal amounts outstanding under the Liquidity Facility as at the immediately preceding Determination Date up to an amount equal to the Potential Redemption Amount;</t>
      </text>
    </comment>
    <comment ref="C157" authorId="25" shapeId="0" xr:uid="{6ECCB06E-6F47-437B-AC6E-C85B40A9C80D}">
      <text>
        <t>[Threaded comment]
Your version of Excel allows you to read this threaded comment; however, any edits to it will get removed if the file is opened in a newer version of Excel. Learn more: https://go.microsoft.com/fwlink/?linkid=870924
Comment:
    1.12	twelfth, provided that a Stop-Lending Trigger Event has not occurred, to fund the advance by the Issuer of Redraws and Re-Advances up to an amount equal to the Potential Redemption Amount less the sum of the amounts applied under item 1.11 above;</t>
      </text>
    </comment>
    <comment ref="C158" authorId="26" shapeId="0" xr:uid="{D08ECC3A-0108-4D2A-B1BB-8A0D40D67766}">
      <text>
        <t>[Threaded comment]
Your version of Excel allows you to read this threaded comment; however, any edits to it will get removed if the file is opened in a newer version of Excel. Learn more: https://go.microsoft.com/fwlink/?linkid=870924
Comment:
    1.13	thirteenth, provided that a Stop-Lending Trigger Event has not occurred, to fund the advance by the Issuer of Further Advances and, during the Revolving Period only, to fund the purchase by the Issuer of Additional Assets, equal to the greater of zero and up to the lower of:</t>
      </text>
    </comment>
    <comment ref="C159" authorId="27" shapeId="0" xr:uid="{19D40C2B-4C62-42EB-8B4C-F0EA0881E62E}">
      <text>
        <t>[Threaded comment]
Your version of Excel allows you to read this threaded comment; however, any edits to it will get removed if the file is opened in a newer version of Excel. Learn more: https://go.microsoft.com/fwlink/?linkid=870924
Comment:
    1.15	fifteenth, if there are Class A Notes outstanding on such Interest Payment Date, to allocate an amount to be applied in redeeming the Notes (in the manner set out in paragraph 3 below) equal to the greater of zero and the Potential Redemption Amount less the sum of the amounts applied under items 1.11 to 1.14 above;
3.	The amount allocated for redemption of the Notes under items 1.15 of the Pre-Enforcement Priority of Payments will be divided into the Class A Redemption Amount, the Class B Redemption Amount and the Class C Redemption Amount. The Class A Redemption Amount will be allocated firstly to the Class A1 Notes and then pro rata to the Class A2 Notes and the Class A3 Notes provided that no amount shall be allocated to the Class A3 Notes if a Class A Principal Lock Out in respect of the Class A3 Notes applies.</t>
      </text>
    </comment>
    <comment ref="C166" authorId="28" shapeId="0" xr:uid="{D8EFAF45-2185-448C-822B-3294A14B37EE}">
      <text>
        <t>[Threaded comment]
Your version of Excel allows you to read this threaded comment; however, any edits to it will get removed if the file is opened in a newer version of Excel. Learn more: https://go.microsoft.com/fwlink/?linkid=870924
Comment:
    1.16	sixteenth, to credit the Arrears Reserve up to the Arrears Reserve Required Amount;</t>
      </text>
    </comment>
    <comment ref="C167" authorId="29" shapeId="0" xr:uid="{AA331D2C-04A7-4352-B46A-00B54AA522B0}">
      <text>
        <t>[Threaded comment]
Your version of Excel allows you to read this threaded comment; however, any edits to it will get removed if the file is opened in a newer version of Excel. Learn more: https://go.microsoft.com/fwlink/?linkid=870924
Comment:
    1.17	seventeenth, if a Class B Interest Deferral Event has occurred on or prior to such Interest Payment Date, to pay interest due and payable in respect of the Class B Notes;</t>
      </text>
    </comment>
    <comment ref="C168" authorId="30" shapeId="0" xr:uid="{7F14970E-47A6-4FEA-8752-D675582C8437}">
      <text>
        <t>[Threaded comment]
Your version of Excel allows you to read this threaded comment; however, any edits to it will get removed if the file is opened in a newer version of Excel. Learn more: https://go.microsoft.com/fwlink/?linkid=870924
Comment:
    1.18	eighteenth, if there are no Class A Notes outstanding on such Interest Payment Date, to allocate an amount to be applied in redeeming the remaining Notes (in the manner set out in paragraph 4 below) equal to the greater of zero and the Potential Redemption Amount less the sum of the amounts applied under items 1.11 to 1.15 above;
4.	The amount allocated for redemption of the Notes under item 1.18 of the Pre-Enforcement Priority of Payments will be divided into the Class B Redemption Amount and the Class C Redemption Amount.</t>
      </text>
    </comment>
    <comment ref="C171" authorId="31" shapeId="0" xr:uid="{4E89DE16-AE83-4886-A5DC-961F414CAA68}">
      <text>
        <t>[Threaded comment]
Your version of Excel allows you to read this threaded comment; however, any edits to it will get removed if the file is opened in a newer version of Excel. Learn more: https://go.microsoft.com/fwlink/?linkid=870924
Comment:
    1.16	sixteenth, to credit the Arrears Reserve up to the Arrears Reserve Required Amount;</t>
      </text>
    </comment>
    <comment ref="C172" authorId="32" shapeId="0" xr:uid="{0BAC8CEE-2EE4-4D39-AE99-4BA5BB34ABD1}">
      <text>
        <t>[Threaded comment]
Your version of Excel allows you to read this threaded comment; however, any edits to it will get removed if the file is opened in a newer version of Excel. Learn more: https://go.microsoft.com/fwlink/?linkid=870924
Comment:
    1.19	nineteenth, if a Class C Interest Deferral Event has occurred on or prior to such Interest Payment Date, to pay interest due and payable in respect of the Class C Notes;</t>
      </text>
    </comment>
    <comment ref="C173" authorId="33" shapeId="0" xr:uid="{39B75775-D3A1-4D8C-B131-008AEA94957C}">
      <text>
        <t>[Threaded comment]
Your version of Excel allows you to read this threaded comment; however, any edits to it will get removed if the file is opened in a newer version of Excel. Learn more: https://go.microsoft.com/fwlink/?linkid=870924
Comment:
    1.20	twentieth, if there are no Class B Notes outstanding on such Interest Payment Date, to allocate an amount to be applied in redeeming the Class C Notes (in the manner set out in paragraph 5 below) equal to the greater of zero and the Potential Redemption Amount less the sum of the amounts applied under items 1.11 to 1.15 and 1.18 above;
5.	The amount allocated for redemption of the Notes under item 1.20 of the Pre-Enforcement Priority of Payments will be allocated in full to the Class C Redemption Amount.</t>
      </text>
    </comment>
    <comment ref="C175" authorId="34" shapeId="0" xr:uid="{10399754-8D0F-405F-9B2B-41B111A4BA45}">
      <text>
        <t>[Threaded comment]
Your version of Excel allows you to read this threaded comment; however, any edits to it will get removed if the file is opened in a newer version of Excel. Learn more: https://go.microsoft.com/fwlink/?linkid=870924
Comment:
    1.21	twenty-first, to pay or provide for pari passu and pro rata the Derivative Termination Amounts due and payable to any Derivative Counterparty under the Derivative Contracts where the Derivative Counterparty is in default;</t>
      </text>
    </comment>
    <comment ref="C176" authorId="35" shapeId="0" xr:uid="{38A2D290-5CAB-4EF9-8066-4622616CE99F}">
      <text>
        <t>[Threaded comment]
Your version of Excel allows you to read this threaded comment; however, any edits to it will get removed if the file is opened in a newer version of Excel. Learn more: https://go.microsoft.com/fwlink/?linkid=870924
Comment:
    1.22	twenty-second, if the Issuer fails to exercise the call option to redeem all the Notes on the Latest Coupon Step-Up Date, in accordance with the terms and conditions of the Notes, to allocate all remaining cash in redeeming the Notes (in the manner set out in paragraph 3 below) on each Interest Payment Date from and including theat Latest Coupon Step-Up Date;</t>
      </text>
    </comment>
    <comment ref="C177" authorId="36" shapeId="0" xr:uid="{18B0F5D4-549C-43C5-9D77-545F68499C0F}">
      <text>
        <t>[Threaded comment]
Your version of Excel allows you to read this threaded comment; however, any edits to it will get removed if the file is opened in a newer version of Excel. Learn more: https://go.microsoft.com/fwlink/?linkid=870924
Comment:
    1.23	twenty-third, provided that the Subordinated Servicing Fee was not paid or provided for under item 1.9 above, to pay the Subordinated Servicing Fee due and payable to the Servicer on each Interest Payment Date, if any (inclusive of VAT, if any); provided that there is no Principal Deficiency on such Interest Payment Date and no Event of Default;</t>
      </text>
    </comment>
    <comment ref="C178" authorId="37" shapeId="0" xr:uid="{B190DE05-F48B-4A9C-9B14-2FAC0AF82B9E}">
      <text>
        <t>[Threaded comment]
Your version of Excel allows you to read this threaded comment; however, any edits to it will get removed if the file is opened in a newer version of Excel. Learn more: https://go.microsoft.com/fwlink/?linkid=870924
Comment:
    1.24	twenty-forth, to pay amounts due and payable in respect of the Subordinated Loan;</t>
      </text>
    </comment>
    <comment ref="C182" authorId="38" shapeId="0" xr:uid="{566675D8-9190-4EAC-A7B6-23C8E6B6472A}">
      <text>
        <t>[Threaded comment]
Your version of Excel allows you to read this threaded comment; however, any edits to it will get removed if the file is opened in a newer version of Excel. Learn more: https://go.microsoft.com/fwlink/?linkid=870924
Comment:
    1.25	twenty-fifth, to pay or provide for the dividend due and payable to the Preference Shareholder, net of Taxes; and</t>
      </text>
    </comment>
    <comment ref="C183" authorId="39" shapeId="0" xr:uid="{0B67ABE6-878A-4D32-A180-42CD93DB5942}">
      <text>
        <t>[Threaded comment]
Your version of Excel allows you to read this threaded comment; however, any edits to it will get removed if the file is opened in a newer version of Excel. Learn more: https://go.microsoft.com/fwlink/?linkid=870924
Comment:
    1.26	twenty-sixth, while any obligations (whether actual or contingent) remain outstanding to Secured Creditors, to invest the surplus, if any, in Permitted Investments and, only once all the obligations (whether contingent or otherwise) to Secured Creditors have been discharged in full, to pay the surplus, if any, to the ordinary shareholders of the Issuer by way of dividends, net of Taxes.</t>
      </text>
    </comment>
  </commentList>
</comments>
</file>

<file path=xl/sharedStrings.xml><?xml version="1.0" encoding="utf-8"?>
<sst xmlns="http://schemas.openxmlformats.org/spreadsheetml/2006/main" count="376" uniqueCount="327">
  <si>
    <r>
      <t xml:space="preserve">Urban Ubomi 1 (RF) Limited
</t>
    </r>
    <r>
      <rPr>
        <sz val="10"/>
        <color theme="1"/>
        <rFont val="Calibri"/>
        <family val="2"/>
        <scheme val="minor"/>
      </rPr>
      <t>registration number 2019/504294/06</t>
    </r>
  </si>
  <si>
    <t>Administration Report</t>
  </si>
  <si>
    <t>Administration Report Date</t>
  </si>
  <si>
    <t>Based on information as at current Determination Date ("DD")</t>
  </si>
  <si>
    <t>Last Collection Period ("CP")</t>
  </si>
  <si>
    <t>From previous DD</t>
  </si>
  <si>
    <t>To current DD</t>
  </si>
  <si>
    <t>Number of days in CP</t>
  </si>
  <si>
    <t>Interest Payment Date ("IPD")</t>
  </si>
  <si>
    <t>Last Interest Period ("IP")</t>
  </si>
  <si>
    <t>From previous IPD</t>
  </si>
  <si>
    <t>To current IPD</t>
  </si>
  <si>
    <t>Number of days in IP</t>
  </si>
  <si>
    <t>Total Outstanding Principal Amount at Issue Date</t>
  </si>
  <si>
    <t>Total Outstanding Principal Amount at Current DD</t>
  </si>
  <si>
    <t>Total Outstanding Principal Amount following current IPD</t>
  </si>
  <si>
    <t>Administrator</t>
  </si>
  <si>
    <t>TUHF Limited</t>
  </si>
  <si>
    <t>Note Breakdown</t>
  </si>
  <si>
    <t xml:space="preserve">Class </t>
  </si>
  <si>
    <t>Class A1</t>
  </si>
  <si>
    <t>Class A2</t>
  </si>
  <si>
    <t>Class B</t>
  </si>
  <si>
    <t>Class C</t>
  </si>
  <si>
    <t>ISIN Code</t>
  </si>
  <si>
    <t>ZAG000175001</t>
  </si>
  <si>
    <t>ZAG000175019</t>
  </si>
  <si>
    <t>ZAG000175035</t>
  </si>
  <si>
    <t>ZAG000175043</t>
  </si>
  <si>
    <t>JSE Listing Code</t>
  </si>
  <si>
    <t>UU1A1</t>
  </si>
  <si>
    <t>UU1A2</t>
  </si>
  <si>
    <t>UU1B1</t>
  </si>
  <si>
    <t>UU1B2</t>
  </si>
  <si>
    <t>Rate type</t>
  </si>
  <si>
    <t>Floating</t>
  </si>
  <si>
    <t xml:space="preserve">Margin for Interest Rate </t>
  </si>
  <si>
    <t>Margin for Coupon Step-Up Rate</t>
  </si>
  <si>
    <t>Reference Rate for last IP</t>
  </si>
  <si>
    <t>Interest Rate for last IP</t>
  </si>
  <si>
    <t>Outstanding Principal Amount at Issue Date</t>
  </si>
  <si>
    <t>% of Notes at Issue Date</t>
  </si>
  <si>
    <t>% of Assets at Issue Date</t>
  </si>
  <si>
    <t>Total CE as % of Assets at Issue Date</t>
  </si>
  <si>
    <t>Outstanding Principal Amount at current DD</t>
  </si>
  <si>
    <t>Interest Due on current IPD</t>
  </si>
  <si>
    <t>Interest Paid on current IPD</t>
  </si>
  <si>
    <t xml:space="preserve">Interest shortfall </t>
  </si>
  <si>
    <t>Redemption Amount</t>
  </si>
  <si>
    <t>Outstanding Principal Amount following current IPD</t>
  </si>
  <si>
    <t>% of Notes following current IPD</t>
  </si>
  <si>
    <t>% of Assets following current IPD</t>
  </si>
  <si>
    <t>Total CE as % of Assets following current IPD</t>
  </si>
  <si>
    <t>Final Redemption Date</t>
  </si>
  <si>
    <t>Scheduled Maturity Date / Coupon Step-Up Date</t>
  </si>
  <si>
    <t>Reference Rate for next IP</t>
  </si>
  <si>
    <t>Interest Rate for next IP</t>
  </si>
  <si>
    <t>Rating on Issue Date</t>
  </si>
  <si>
    <t>Rating on IPD</t>
  </si>
  <si>
    <t>Transaction Account Movement over last Collection Period</t>
  </si>
  <si>
    <t>Opening balances</t>
  </si>
  <si>
    <t>Transaction Account opening balance on last DD</t>
  </si>
  <si>
    <t>Total payments out of Transaction Account on last IPD</t>
  </si>
  <si>
    <t>Residual of Transaction Account opening balance from last DD following payments out on last IPD</t>
  </si>
  <si>
    <t>Retained surplus from PoP</t>
  </si>
  <si>
    <t>Capital Reserve</t>
  </si>
  <si>
    <t>Arrears Reserve</t>
  </si>
  <si>
    <t>Incoming cash flows</t>
  </si>
  <si>
    <t>Total issuance proceeds during CP</t>
  </si>
  <si>
    <t>from Notes</t>
  </si>
  <si>
    <t>from Subordinated Loan</t>
  </si>
  <si>
    <t>Total interest receipts on Transaction Account and Permitted Investments during CP</t>
  </si>
  <si>
    <t>Interest received during CP on balance in Transaction Account</t>
  </si>
  <si>
    <t>Interest received during CP from Permitted Investments</t>
  </si>
  <si>
    <t>Total collection receipts during CP from Participating Assets</t>
  </si>
  <si>
    <t>Repayments</t>
  </si>
  <si>
    <t>Prepayments</t>
  </si>
  <si>
    <t xml:space="preserve">Enforcement and recovery proceeds </t>
  </si>
  <si>
    <t>principal portion</t>
  </si>
  <si>
    <t>Interest portion</t>
  </si>
  <si>
    <t>Insurance Proceeds</t>
  </si>
  <si>
    <t xml:space="preserve">Sale of Participating Asset proceeds </t>
  </si>
  <si>
    <t>Interest receipts</t>
  </si>
  <si>
    <t>Fees and costs</t>
  </si>
  <si>
    <t>Net settlements on Derivatives and Derivative Termination Amounts</t>
  </si>
  <si>
    <t>Other receipts into Transaction Account during CP</t>
  </si>
  <si>
    <t>Outgoing cash flows</t>
  </si>
  <si>
    <t>Payment of Excluded Items during CP</t>
  </si>
  <si>
    <t>Monies belonging to 3rd parties</t>
  </si>
  <si>
    <t>Reconciliation amounts under Sale Agreement(s)</t>
  </si>
  <si>
    <t>Purchase Price under Sale Agreement(s)</t>
  </si>
  <si>
    <t>from proceeds of issue of Notes and Subordinated Loan (incl. Pre-Funding Amount)</t>
  </si>
  <si>
    <t>from Capital Reserve</t>
  </si>
  <si>
    <t>Advances to Borrowers under Sale Agreement</t>
  </si>
  <si>
    <t>Repayments to Liquidity Facility on Latest Coupon Step-Up Date</t>
  </si>
  <si>
    <t>Reversal of double payment of instalments</t>
  </si>
  <si>
    <t>Refinancing Note proceeds paid to Refinanced Notes</t>
  </si>
  <si>
    <t>Closing balances</t>
  </si>
  <si>
    <t>Transaction Acount closing balance on current DD for Availability Priorty of Payments</t>
  </si>
  <si>
    <t>Retained surplus from PoP from previous PD</t>
  </si>
  <si>
    <t>Net receipts during CP</t>
  </si>
  <si>
    <t>Potential Redemption Amount ("PRA")</t>
  </si>
  <si>
    <t>PRA on current DD</t>
  </si>
  <si>
    <t>Principal Collections during CP</t>
  </si>
  <si>
    <t xml:space="preserve">(plus) 50% of balance(s) of new NPLs in preceding Collection Period </t>
  </si>
  <si>
    <r>
      <t xml:space="preserve">(plus) Principal Deficiency amount from </t>
    </r>
    <r>
      <rPr>
        <u/>
        <sz val="11"/>
        <color theme="1"/>
        <rFont val="Calibri (Body)"/>
      </rPr>
      <t>previous</t>
    </r>
    <r>
      <rPr>
        <sz val="11"/>
        <color theme="1"/>
        <rFont val="Calibri"/>
        <family val="2"/>
        <scheme val="minor"/>
      </rPr>
      <t xml:space="preserve"> DD</t>
    </r>
  </si>
  <si>
    <t>(less) Repayments and Prepayments used for Redraws, Re-Advances and Further Advances during CP</t>
  </si>
  <si>
    <t>(plus) Advances under the Liquidity Facility during CP</t>
  </si>
  <si>
    <t>(plus) Capital Reserve excess</t>
  </si>
  <si>
    <t>Principal Deficiency Ledger</t>
  </si>
  <si>
    <t>PRA at current DD</t>
  </si>
  <si>
    <t>Cash available in Availability Period Priority of Payment after item 9 on current DD</t>
  </si>
  <si>
    <t>Principal Deficiency on current IPD</t>
  </si>
  <si>
    <t>Interest Deferral Event</t>
  </si>
  <si>
    <t>Prior PD Amount</t>
  </si>
  <si>
    <t>Threshold</t>
  </si>
  <si>
    <t>Prior Deferral (Y/N)</t>
  </si>
  <si>
    <t>Deferral (Y/N)</t>
  </si>
  <si>
    <t xml:space="preserve">Class B Interest deferral Event </t>
  </si>
  <si>
    <t>N</t>
  </si>
  <si>
    <t>Class C Interest Deferral Event</t>
  </si>
  <si>
    <t>Principal Lock-Outs</t>
  </si>
  <si>
    <t>Prior to Latest Coupon Step-Up Date (Y/N)</t>
  </si>
  <si>
    <t>Y</t>
  </si>
  <si>
    <t>Outstanding Principal Amount Class A1 and Class A2 greater than Class A Redemption Amount (Y/N)</t>
  </si>
  <si>
    <t>Event of Default (Y/N)</t>
  </si>
  <si>
    <t>Class A Principal Lock-Out for Class A2 on IPD (Y/N)</t>
  </si>
  <si>
    <t>Class A Notes Outstanding (Y/N) and</t>
  </si>
  <si>
    <t>Interest Payment Date prior to Latest Coupon Step-Up Date; or</t>
  </si>
  <si>
    <t>Is Class B and Class C ratio &lt; 2x ratio as at latest Issue Date (Y/N); or</t>
  </si>
  <si>
    <t xml:space="preserve">Outstand Principal Amount of all Notes less than 10% (Y/N); or </t>
  </si>
  <si>
    <t>Principal Deficiency on immediately preceding IPD (Y/N)</t>
  </si>
  <si>
    <t>Non-Performing Assets exceeds 10% of Participating Assets (Y/N);</t>
  </si>
  <si>
    <t xml:space="preserve">Outstanding Principal Amount of Class B and Class C less than 2 times of single Borrower (Y/N) </t>
  </si>
  <si>
    <t>Arrears Reserve not funded to Arrears Reserve Required Amount on immediately preceding IPD (Y/N)</t>
  </si>
  <si>
    <t>Class B Principal Lock-Out on IPD (Y/N)</t>
  </si>
  <si>
    <t>Class B Notes Outstanding (Y/N)</t>
  </si>
  <si>
    <t>Class C Principal Lock-Out on IPD (Y/N)</t>
  </si>
  <si>
    <t xml:space="preserve">Pre-Enforcement Priority of Payments </t>
  </si>
  <si>
    <t>PoP Item</t>
  </si>
  <si>
    <t xml:space="preserve">Amount Due / Provided </t>
  </si>
  <si>
    <t>Cash Available 
(incl. Liquidity Facility if applicable)</t>
  </si>
  <si>
    <t>Amount Paid / Provided for</t>
  </si>
  <si>
    <t>1.1 Tax</t>
  </si>
  <si>
    <t>1.2 pari passu and pro rata</t>
  </si>
  <si>
    <t>1.2.1 Security SPV</t>
  </si>
  <si>
    <t>1.2.2 Owner Trustee</t>
  </si>
  <si>
    <t>1.3 pari passu and pro rata</t>
  </si>
  <si>
    <t xml:space="preserve">1.3.1 Account Bank </t>
  </si>
  <si>
    <t>1.3.2 third parties</t>
  </si>
  <si>
    <t>1.4 pari passu and pro rata</t>
  </si>
  <si>
    <t>1.4.1 Senior Servicing Fee</t>
  </si>
  <si>
    <t xml:space="preserve">1.4.2 Back-Up Servicing Fee </t>
  </si>
  <si>
    <t xml:space="preserve">1.4.3 Administrator Fee </t>
  </si>
  <si>
    <t>1.5 Derivative Net Settlement and Termination Amounts</t>
  </si>
  <si>
    <t>1.6 Liquidity Facility (not applicable)</t>
  </si>
  <si>
    <t>1.7 pari passu and pro rata (other than principal)</t>
  </si>
  <si>
    <t xml:space="preserve">6.1. Class A1 </t>
  </si>
  <si>
    <t>6.2. Class A2</t>
  </si>
  <si>
    <t>6.3. Class A3</t>
  </si>
  <si>
    <t>1.8 Class B (other than principal) if no Class B IDE</t>
  </si>
  <si>
    <t>1.9 Class C (other than principal) if no Class C IDE</t>
  </si>
  <si>
    <t>1.10 Liquidity Facility principal (not applicable)</t>
  </si>
  <si>
    <t xml:space="preserve">1.11 Redraws and Re-Advances </t>
  </si>
  <si>
    <t xml:space="preserve">1.12 Further Advances and Additional Assets </t>
  </si>
  <si>
    <t xml:space="preserve">1.13 Capital Reserve </t>
  </si>
  <si>
    <t xml:space="preserve">1.14 Redemption of Notes if Class A outstanding </t>
  </si>
  <si>
    <t xml:space="preserve">Class A Redemption Amount </t>
  </si>
  <si>
    <t>Class A3</t>
  </si>
  <si>
    <t>Class B Redemption Amount</t>
  </si>
  <si>
    <t>Class C Redemption Amount</t>
  </si>
  <si>
    <t>1.15 Arrears Reserve top up if Class A Outstanding</t>
  </si>
  <si>
    <t>1.16 Class B (other than principal) if Class B IDE</t>
  </si>
  <si>
    <t>1.17 Redemption of Notes if no Class A but Class B outstanding</t>
  </si>
  <si>
    <t>1.18 Arrears Reserve top up if no Class A Outstanding</t>
  </si>
  <si>
    <t>1.19 Class C (other than principal) if Class C IDE</t>
  </si>
  <si>
    <t>1.20 Redemption of Notes if no Class B but Class C outstanding</t>
  </si>
  <si>
    <t xml:space="preserve">1.21 Derivative Termination Amounts </t>
  </si>
  <si>
    <t>1.22 Redemption of the Notes if after Latest Coupon Step-Up Date</t>
  </si>
  <si>
    <t>1.23 Subordinated Derivative net settlements and Derivative Termination Amounts</t>
  </si>
  <si>
    <t xml:space="preserve">1.24 Subordinated Loan </t>
  </si>
  <si>
    <t xml:space="preserve">Interest </t>
  </si>
  <si>
    <t>Deferred Interest</t>
  </si>
  <si>
    <t xml:space="preserve">Principal </t>
  </si>
  <si>
    <t>1.25 Dividend to Preference Shareholder</t>
  </si>
  <si>
    <t>1.26 Invest surplus or pay to ordinary shareholder</t>
  </si>
  <si>
    <t>Totals</t>
  </si>
  <si>
    <t>Arrears Reserve Ledger</t>
  </si>
  <si>
    <t>Arrears Reserve Required Amount on previous IPD</t>
  </si>
  <si>
    <t>Arrears Reserve on previous IPD</t>
  </si>
  <si>
    <t>Arrears Reserve Required Amount on current IPD</t>
  </si>
  <si>
    <t>Amount released from Arrears Reserve on current IPD</t>
  </si>
  <si>
    <t>Amount added to Arrears Reserve on current IPD</t>
  </si>
  <si>
    <t>Arrears Reserve on current IPD</t>
  </si>
  <si>
    <t>Capital Reserve Ledger</t>
  </si>
  <si>
    <t>Capital Reserve balance on last IPD</t>
  </si>
  <si>
    <t>Payments into Capital Reserve during CP</t>
  </si>
  <si>
    <t>Payments out of Capital Reserve during CP</t>
  </si>
  <si>
    <t>Capital Reserve balance on current DD</t>
  </si>
  <si>
    <t>Payments out of Capital Reserve on IPD</t>
  </si>
  <si>
    <t>Payments into Capital Reserve on IPD</t>
  </si>
  <si>
    <t>Capital Reserve balance on current IPD</t>
  </si>
  <si>
    <t>Subordinated Loan</t>
  </si>
  <si>
    <t>Margin</t>
  </si>
  <si>
    <t>Date</t>
  </si>
  <si>
    <t>Base Rate</t>
  </si>
  <si>
    <t>Loan</t>
  </si>
  <si>
    <t>aggregate Subordinated Loan</t>
  </si>
  <si>
    <t>Subordinated Loan as at last IPD after PoP</t>
  </si>
  <si>
    <t>Subordinated Loans advanced during IP</t>
  </si>
  <si>
    <t>Loan 1</t>
  </si>
  <si>
    <t>Loan 2</t>
  </si>
  <si>
    <t>Loan 3</t>
  </si>
  <si>
    <t>Subordinated Loan outstanding on IPD</t>
  </si>
  <si>
    <t xml:space="preserve">Interest due on IPD for the IP </t>
  </si>
  <si>
    <t xml:space="preserve">Unpaid Interest from previous IPDs </t>
  </si>
  <si>
    <t>Interest paid on IPD</t>
  </si>
  <si>
    <t>Interest shortfall on IPD</t>
  </si>
  <si>
    <t>Deferred Interest paid on IPD</t>
  </si>
  <si>
    <t>Subordinated Loan repayment on IPD</t>
  </si>
  <si>
    <t>Subordinate Loan outstanding and unpaid interest on current PD</t>
  </si>
  <si>
    <t>Servicer Report</t>
  </si>
  <si>
    <t xml:space="preserve">Servicer Report Date: </t>
  </si>
  <si>
    <t>Based on information as at current Determination Date ("DD"):</t>
  </si>
  <si>
    <t>From previous DD:</t>
  </si>
  <si>
    <t>To current DD:</t>
  </si>
  <si>
    <t>Number of days in CP:</t>
  </si>
  <si>
    <t>Availability Period</t>
  </si>
  <si>
    <t>Start date:</t>
  </si>
  <si>
    <t>N/A</t>
  </si>
  <si>
    <t>Projected end date:</t>
  </si>
  <si>
    <t>Final Maturity Date:</t>
  </si>
  <si>
    <t>Base Rate:</t>
  </si>
  <si>
    <t>Reset Date</t>
  </si>
  <si>
    <t>Last date:</t>
  </si>
  <si>
    <t>Next date:</t>
  </si>
  <si>
    <t>Servicer:</t>
  </si>
  <si>
    <t>Back-Up Servicer:</t>
  </si>
  <si>
    <t>Mettle Credit Services Proprietary Limited</t>
  </si>
  <si>
    <t>Participating Assets - movements in CP</t>
  </si>
  <si>
    <t>Opening balances as at previous DD</t>
  </si>
  <si>
    <t>Participating Assets as at previous DD:</t>
  </si>
  <si>
    <t>New Participating Assets during CP</t>
  </si>
  <si>
    <t>Acquisitions of Loan Agreements during CP:</t>
  </si>
  <si>
    <t>Ordinary Acquisitions</t>
  </si>
  <si>
    <t>Substitution Acquisitions</t>
  </si>
  <si>
    <t>Further Advances in respect of existing Loan Agreements during CP:</t>
  </si>
  <si>
    <t>Cash Advances</t>
  </si>
  <si>
    <t>Capitalised costs</t>
  </si>
  <si>
    <t>Amounts Due during current CP</t>
  </si>
  <si>
    <t>Scheduled Instalments due during current CP:</t>
  </si>
  <si>
    <t>Instalments due - Repayments:</t>
  </si>
  <si>
    <t>Instalments due - Interest:</t>
  </si>
  <si>
    <t>Instalments due - Fees and Costs:</t>
  </si>
  <si>
    <t>Cash flow receipts during current CP</t>
  </si>
  <si>
    <t>Instalment receipts during current CP:</t>
  </si>
  <si>
    <t>Instalments - Repayments:</t>
  </si>
  <si>
    <t>Instalments - Interest:</t>
  </si>
  <si>
    <t>Instalments - Fees and Costs:</t>
  </si>
  <si>
    <t>Prepayments:</t>
  </si>
  <si>
    <t>Insurance Proceeds:</t>
  </si>
  <si>
    <t>Enforcement proceeds:</t>
  </si>
  <si>
    <t>Recoveries and disposal proceeds:</t>
  </si>
  <si>
    <t>Ordinary Disposals</t>
  </si>
  <si>
    <t>Substitution Disposals</t>
  </si>
  <si>
    <t>Closing balances as at current DD</t>
  </si>
  <si>
    <t>Participating Assets as at current DD:</t>
  </si>
  <si>
    <t>Participating Assets - ageing analysis</t>
  </si>
  <si>
    <t>on previous DD</t>
  </si>
  <si>
    <t>on current DD</t>
  </si>
  <si>
    <t>Current and Advanced - 0 days in arrears:</t>
  </si>
  <si>
    <t>Early arrears:</t>
  </si>
  <si>
    <t>&gt; 0 &amp; &lt; 30 days in arrears:</t>
  </si>
  <si>
    <t>≥ 30 &amp; &lt; 60 days in arrears:</t>
  </si>
  <si>
    <t>≥ 60 &amp; &lt; 90 days in arrears:</t>
  </si>
  <si>
    <t>Non-Performing Assets:</t>
  </si>
  <si>
    <t>≥ 90 &amp; &lt; 120 days in arrears:</t>
  </si>
  <si>
    <t>≥ 120 &amp; &lt; 180 days in arrears:</t>
  </si>
  <si>
    <t>≥ 180 days in arrears:</t>
  </si>
  <si>
    <t>Other</t>
  </si>
  <si>
    <t>Total Participating Assets:</t>
  </si>
  <si>
    <t>Portfolio Covenants</t>
  </si>
  <si>
    <t>As at last DD</t>
  </si>
  <si>
    <t>As at current DD</t>
  </si>
  <si>
    <t>Weighted Average current LTV Ratio</t>
  </si>
  <si>
    <t>&lt; 65%</t>
  </si>
  <si>
    <t>Proportion with current LTV Ratio greater than 70%</t>
  </si>
  <si>
    <t>&lt; 25%</t>
  </si>
  <si>
    <t>Weighted average number of months from commencement</t>
  </si>
  <si>
    <t>&gt; 12 months</t>
  </si>
  <si>
    <t>Weighted Average Margin Covenant:</t>
  </si>
  <si>
    <t>&gt; 300 bps</t>
  </si>
  <si>
    <t>Concentration to top 3 Borrowers:</t>
  </si>
  <si>
    <t>Concentration to top 4 Borrowers:</t>
  </si>
  <si>
    <t>Concentration to top 5 Borrowers:</t>
  </si>
  <si>
    <t>Concentration to top 6 Borrowers:</t>
  </si>
  <si>
    <t>Concentration to top 7 Borrowers:</t>
  </si>
  <si>
    <t>Portfolio Stratifications</t>
  </si>
  <si>
    <t xml:space="preserve">Province </t>
  </si>
  <si>
    <t>Loan Balance</t>
  </si>
  <si>
    <t>Loan Balance %</t>
  </si>
  <si>
    <t>Count</t>
  </si>
  <si>
    <t>Count %</t>
  </si>
  <si>
    <t>Gauteng</t>
  </si>
  <si>
    <t>KwaZulu Natal</t>
  </si>
  <si>
    <t>Western Cape</t>
  </si>
  <si>
    <t>Free State</t>
  </si>
  <si>
    <t>Eastern Cape</t>
  </si>
  <si>
    <t xml:space="preserve">Total </t>
  </si>
  <si>
    <t>Current LTV Ratio</t>
  </si>
  <si>
    <t>0 - 25%</t>
  </si>
  <si>
    <t>25 - 50%</t>
  </si>
  <si>
    <t>50 - 60%</t>
  </si>
  <si>
    <t>60 - 70%</t>
  </si>
  <si>
    <t>70 - 81%</t>
  </si>
  <si>
    <t>Loan Commencement Date</t>
  </si>
  <si>
    <t>Current Participating Asset Margin Over Prime</t>
  </si>
  <si>
    <t>0 - 1%</t>
  </si>
  <si>
    <t>1 - 2%</t>
  </si>
  <si>
    <t>2 - 3%</t>
  </si>
  <si>
    <t>3 - 4%</t>
  </si>
  <si>
    <t>4 - 5%</t>
  </si>
  <si>
    <t>5 - 6%</t>
  </si>
  <si>
    <t>AAA(za)(sf)</t>
  </si>
  <si>
    <t>AA+(za)(sf)</t>
  </si>
  <si>
    <t>A-(za)(sf)</t>
  </si>
  <si>
    <t>BBB(za)(sf)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</si>
</sst>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_-* #,##0_-;\-* #,##0_-;_-* &quot;-&quot;??_-;_-@_-"/>
    <numFmt numFmtId="166" formatCode="0.000%"/>
    <numFmt numFmtId="167" formatCode="_(* #,##0_);_(* \(#,##0\);_(* &quot;-&quot;??_);_(@_)"/>
  </numFmts>
  <fonts count="16">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sz val="10"/>
      <color theme="1"/>
      <name val="Calibri"/>
      <family val="2"/>
      <scheme val="minor"/>
    </font>
    <font>
      <i/>
      <sz val="11"/>
      <color theme="1"/>
      <name val="Calibri"/>
      <family val="2"/>
      <scheme val="minor"/>
    </font>
    <font>
      <b/>
      <u/>
      <sz val="11"/>
      <color theme="1"/>
      <name val="Calibri"/>
      <family val="2"/>
      <scheme val="minor"/>
    </font>
    <font>
      <i/>
      <sz val="11"/>
      <name val="Calibri"/>
      <family val="2"/>
      <scheme val="minor"/>
    </font>
    <font>
      <u/>
      <sz val="11"/>
      <color theme="1"/>
      <name val="Calibri (Body)"/>
    </font>
    <font>
      <b/>
      <i/>
      <sz val="11"/>
      <color theme="1"/>
      <name val="Calibri"/>
      <family val="2"/>
      <scheme val="minor"/>
    </font>
    <font>
      <b/>
      <i/>
      <sz val="11"/>
      <name val="Calibri"/>
      <family val="2"/>
      <scheme val="minor"/>
    </font>
    <font>
      <i/>
      <sz val="11"/>
      <color rgb="FFFF0000"/>
      <name val="Calibri"/>
      <family val="2"/>
      <scheme val="minor"/>
    </font>
    <font>
      <sz val="11"/>
      <name val="Calibri"/>
      <family val="2"/>
      <scheme val="minor"/>
    </font>
    <font>
      <sz val="9"/>
      <color indexed="81"/>
      <name val="Tahoma"/>
      <family val="2"/>
    </font>
    <font>
      <sz val="11"/>
      <color theme="1"/>
      <name val="Calibri"/>
      <family val="2"/>
    </font>
    <font>
      <b/>
      <sz val="11"/>
      <color theme="1"/>
      <name val="Calibri"/>
      <family val="2"/>
    </font>
  </fonts>
  <fills count="9">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s>
  <borders count="4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top/>
      <bottom/>
      <diagonal/>
    </border>
    <border>
      <left/>
      <right style="medium">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439">
    <xf numFmtId="0" fontId="0" fillId="0" borderId="0" xfId="0"/>
    <xf numFmtId="0" fontId="0" fillId="2" borderId="0" xfId="0" applyFill="1"/>
    <xf numFmtId="0" fontId="0" fillId="3" borderId="1" xfId="0" applyFill="1" applyBorder="1"/>
    <xf numFmtId="0" fontId="0" fillId="3" borderId="2" xfId="0" applyFill="1" applyBorder="1"/>
    <xf numFmtId="0" fontId="0" fillId="3" borderId="3" xfId="0" applyFill="1" applyBorder="1"/>
    <xf numFmtId="0" fontId="0" fillId="3" borderId="4" xfId="0" applyFill="1" applyBorder="1"/>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0" fillId="3" borderId="5" xfId="0" applyFill="1" applyBorder="1"/>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0" fillId="3" borderId="0" xfId="0" applyFill="1"/>
    <xf numFmtId="0" fontId="2" fillId="4" borderId="9" xfId="0" applyFont="1" applyFill="1" applyBorder="1" applyAlignment="1">
      <alignment horizontal="center"/>
    </xf>
    <xf numFmtId="0" fontId="2" fillId="4" borderId="10" xfId="0" applyFont="1" applyFill="1" applyBorder="1" applyAlignment="1">
      <alignment horizontal="center"/>
    </xf>
    <xf numFmtId="0" fontId="2" fillId="4" borderId="11" xfId="0" applyFont="1" applyFill="1" applyBorder="1" applyAlignment="1">
      <alignment horizontal="center"/>
    </xf>
    <xf numFmtId="0" fontId="2" fillId="5" borderId="12" xfId="0" applyFont="1" applyFill="1" applyBorder="1"/>
    <xf numFmtId="0" fontId="2" fillId="5" borderId="13" xfId="0" applyFont="1" applyFill="1" applyBorder="1"/>
    <xf numFmtId="0" fontId="2" fillId="5" borderId="14" xfId="0" applyFont="1" applyFill="1" applyBorder="1"/>
    <xf numFmtId="14" fontId="5" fillId="3" borderId="15" xfId="0" applyNumberFormat="1" applyFont="1" applyFill="1" applyBorder="1" applyAlignment="1">
      <alignment horizontal="right" wrapText="1"/>
    </xf>
    <xf numFmtId="14" fontId="5" fillId="3" borderId="16" xfId="0" applyNumberFormat="1" applyFont="1" applyFill="1" applyBorder="1" applyAlignment="1">
      <alignment horizontal="right" wrapText="1"/>
    </xf>
    <xf numFmtId="0" fontId="2" fillId="5" borderId="17" xfId="0" applyFont="1" applyFill="1" applyBorder="1"/>
    <xf numFmtId="0" fontId="2" fillId="5" borderId="18" xfId="0" applyFont="1" applyFill="1" applyBorder="1"/>
    <xf numFmtId="0" fontId="2" fillId="5" borderId="19" xfId="0" applyFont="1" applyFill="1" applyBorder="1"/>
    <xf numFmtId="14" fontId="5" fillId="3" borderId="20" xfId="0" applyNumberFormat="1" applyFont="1" applyFill="1" applyBorder="1" applyAlignment="1">
      <alignment horizontal="right" wrapText="1"/>
    </xf>
    <xf numFmtId="14" fontId="5" fillId="3" borderId="21" xfId="0" applyNumberFormat="1" applyFont="1" applyFill="1" applyBorder="1" applyAlignment="1">
      <alignment horizontal="right" wrapText="1"/>
    </xf>
    <xf numFmtId="0" fontId="2" fillId="5" borderId="22" xfId="0" applyFont="1" applyFill="1" applyBorder="1" applyAlignment="1">
      <alignment horizontal="left" vertical="center"/>
    </xf>
    <xf numFmtId="0" fontId="2" fillId="5" borderId="23" xfId="0" applyFont="1" applyFill="1" applyBorder="1" applyAlignment="1">
      <alignment horizontal="left" vertical="center"/>
    </xf>
    <xf numFmtId="0" fontId="2" fillId="5" borderId="24" xfId="0" applyFont="1" applyFill="1" applyBorder="1" applyAlignment="1">
      <alignment horizontal="left" vertical="center"/>
    </xf>
    <xf numFmtId="0" fontId="2" fillId="5" borderId="25" xfId="0" applyFont="1" applyFill="1" applyBorder="1"/>
    <xf numFmtId="0" fontId="2" fillId="5" borderId="17" xfId="0" applyFont="1" applyFill="1" applyBorder="1" applyAlignment="1">
      <alignment horizontal="left" vertical="center"/>
    </xf>
    <xf numFmtId="0" fontId="2" fillId="5" borderId="18" xfId="0" applyFont="1" applyFill="1" applyBorder="1" applyAlignment="1">
      <alignment horizontal="left" vertical="center"/>
    </xf>
    <xf numFmtId="0" fontId="2" fillId="5" borderId="26" xfId="0" applyFont="1" applyFill="1" applyBorder="1" applyAlignment="1">
      <alignment horizontal="left" vertical="center"/>
    </xf>
    <xf numFmtId="0" fontId="2" fillId="5" borderId="27" xfId="0" applyFont="1" applyFill="1" applyBorder="1"/>
    <xf numFmtId="0" fontId="2" fillId="5" borderId="17" xfId="0" applyFont="1" applyFill="1" applyBorder="1" applyAlignment="1">
      <alignment horizontal="left" vertical="center"/>
    </xf>
    <xf numFmtId="0" fontId="2" fillId="5" borderId="0" xfId="0" applyFont="1" applyFill="1" applyAlignment="1">
      <alignment horizontal="left" vertical="center"/>
    </xf>
    <xf numFmtId="0" fontId="2" fillId="5" borderId="28" xfId="0" applyFont="1" applyFill="1" applyBorder="1" applyAlignment="1">
      <alignment horizontal="left" vertical="center"/>
    </xf>
    <xf numFmtId="0" fontId="2" fillId="5" borderId="28" xfId="0" applyFont="1" applyFill="1" applyBorder="1"/>
    <xf numFmtId="165" fontId="5" fillId="3" borderId="20" xfId="1" applyNumberFormat="1" applyFont="1" applyFill="1" applyBorder="1" applyAlignment="1">
      <alignment horizontal="right" wrapText="1"/>
    </xf>
    <xf numFmtId="165" fontId="5" fillId="3" borderId="21" xfId="1" applyNumberFormat="1" applyFont="1" applyFill="1" applyBorder="1" applyAlignment="1">
      <alignment horizontal="right" wrapText="1"/>
    </xf>
    <xf numFmtId="0" fontId="2" fillId="5" borderId="29" xfId="0" applyFont="1" applyFill="1" applyBorder="1"/>
    <xf numFmtId="0" fontId="2" fillId="5" borderId="30" xfId="0" applyFont="1" applyFill="1" applyBorder="1"/>
    <xf numFmtId="0" fontId="2" fillId="5" borderId="31" xfId="0" applyFont="1" applyFill="1" applyBorder="1"/>
    <xf numFmtId="0" fontId="2" fillId="5" borderId="19" xfId="0" applyFont="1" applyFill="1" applyBorder="1" applyAlignment="1">
      <alignment horizontal="left" vertical="center"/>
    </xf>
    <xf numFmtId="0" fontId="2" fillId="5" borderId="18" xfId="0" applyFont="1" applyFill="1" applyBorder="1" applyAlignment="1">
      <alignment horizontal="left" vertical="center"/>
    </xf>
    <xf numFmtId="0" fontId="2" fillId="5" borderId="29" xfId="0" applyFont="1" applyFill="1" applyBorder="1" applyAlignment="1">
      <alignment horizontal="left" vertical="center"/>
    </xf>
    <xf numFmtId="165" fontId="5" fillId="3" borderId="20" xfId="1" applyNumberFormat="1" applyFont="1" applyFill="1" applyBorder="1" applyAlignment="1">
      <alignment horizontal="right"/>
    </xf>
    <xf numFmtId="165" fontId="5" fillId="3" borderId="21" xfId="1" applyNumberFormat="1" applyFont="1" applyFill="1" applyBorder="1" applyAlignment="1">
      <alignment horizontal="right"/>
    </xf>
    <xf numFmtId="0" fontId="2" fillId="5" borderId="6" xfId="0" applyFont="1" applyFill="1" applyBorder="1"/>
    <xf numFmtId="0" fontId="2" fillId="5" borderId="7" xfId="0" applyFont="1" applyFill="1" applyBorder="1"/>
    <xf numFmtId="0" fontId="0" fillId="3" borderId="32" xfId="0" applyFill="1" applyBorder="1" applyAlignment="1">
      <alignment horizontal="right"/>
    </xf>
    <xf numFmtId="0" fontId="0" fillId="3" borderId="33" xfId="0" applyFill="1" applyBorder="1" applyAlignment="1">
      <alignment horizontal="right"/>
    </xf>
    <xf numFmtId="0" fontId="2" fillId="6" borderId="1" xfId="0" applyFont="1" applyFill="1" applyBorder="1" applyAlignment="1">
      <alignment horizontal="center"/>
    </xf>
    <xf numFmtId="0" fontId="2" fillId="6" borderId="2" xfId="0" applyFont="1" applyFill="1" applyBorder="1" applyAlignment="1">
      <alignment horizontal="center"/>
    </xf>
    <xf numFmtId="0" fontId="2" fillId="6" borderId="3" xfId="0" applyFont="1" applyFill="1" applyBorder="1" applyAlignment="1">
      <alignment horizontal="center"/>
    </xf>
    <xf numFmtId="0" fontId="0" fillId="5" borderId="28" xfId="0" applyFill="1" applyBorder="1"/>
    <xf numFmtId="0" fontId="2" fillId="5" borderId="25" xfId="0" applyFont="1" applyFill="1" applyBorder="1" applyAlignment="1">
      <alignment horizontal="center"/>
    </xf>
    <xf numFmtId="0" fontId="2" fillId="5" borderId="30" xfId="0" applyFont="1" applyFill="1" applyBorder="1" applyAlignment="1">
      <alignment horizontal="center"/>
    </xf>
    <xf numFmtId="0" fontId="2" fillId="5" borderId="34" xfId="0" applyFont="1" applyFill="1" applyBorder="1" applyAlignment="1">
      <alignment horizontal="center"/>
    </xf>
    <xf numFmtId="0" fontId="2" fillId="5" borderId="4" xfId="0" applyFont="1" applyFill="1" applyBorder="1"/>
    <xf numFmtId="0" fontId="0" fillId="5" borderId="0" xfId="0" applyFill="1"/>
    <xf numFmtId="0" fontId="0" fillId="3" borderId="25" xfId="0" applyFill="1" applyBorder="1" applyAlignment="1">
      <alignment horizontal="center"/>
    </xf>
    <xf numFmtId="0" fontId="0" fillId="3" borderId="30" xfId="0" applyFill="1" applyBorder="1" applyAlignment="1">
      <alignment horizontal="center"/>
    </xf>
    <xf numFmtId="0" fontId="0" fillId="3" borderId="34" xfId="0" applyFill="1" applyBorder="1" applyAlignment="1">
      <alignment horizontal="center"/>
    </xf>
    <xf numFmtId="10" fontId="5" fillId="3" borderId="25" xfId="0" applyNumberFormat="1" applyFont="1" applyFill="1" applyBorder="1" applyAlignment="1">
      <alignment horizontal="center"/>
    </xf>
    <xf numFmtId="0" fontId="5" fillId="3" borderId="30" xfId="0" applyFont="1" applyFill="1" applyBorder="1" applyAlignment="1">
      <alignment horizontal="center"/>
    </xf>
    <xf numFmtId="10" fontId="5" fillId="3" borderId="25" xfId="2" applyNumberFormat="1" applyFont="1" applyFill="1" applyBorder="1" applyAlignment="1">
      <alignment horizontal="center"/>
    </xf>
    <xf numFmtId="10" fontId="5" fillId="3" borderId="30" xfId="2" applyNumberFormat="1" applyFont="1" applyFill="1" applyBorder="1" applyAlignment="1">
      <alignment horizontal="center"/>
    </xf>
    <xf numFmtId="10" fontId="5" fillId="3" borderId="34" xfId="2" applyNumberFormat="1" applyFont="1" applyFill="1" applyBorder="1" applyAlignment="1">
      <alignment horizontal="center"/>
    </xf>
    <xf numFmtId="166" fontId="5" fillId="3" borderId="25" xfId="0" applyNumberFormat="1" applyFont="1" applyFill="1" applyBorder="1" applyAlignment="1">
      <alignment horizontal="center"/>
    </xf>
    <xf numFmtId="166" fontId="5" fillId="3" borderId="30" xfId="0" applyNumberFormat="1" applyFont="1" applyFill="1" applyBorder="1" applyAlignment="1">
      <alignment horizontal="center"/>
    </xf>
    <xf numFmtId="166" fontId="5" fillId="3" borderId="25" xfId="2" applyNumberFormat="1" applyFont="1" applyFill="1" applyBorder="1" applyAlignment="1">
      <alignment horizontal="center"/>
    </xf>
    <xf numFmtId="166" fontId="5" fillId="3" borderId="34" xfId="2" applyNumberFormat="1" applyFont="1" applyFill="1" applyBorder="1" applyAlignment="1">
      <alignment horizontal="center"/>
    </xf>
    <xf numFmtId="166" fontId="5" fillId="3" borderId="30" xfId="2" applyNumberFormat="1" applyFont="1" applyFill="1" applyBorder="1" applyAlignment="1">
      <alignment horizontal="center"/>
    </xf>
    <xf numFmtId="165" fontId="5" fillId="3" borderId="25" xfId="1" applyNumberFormat="1" applyFont="1" applyFill="1" applyBorder="1" applyAlignment="1">
      <alignment horizontal="center"/>
    </xf>
    <xf numFmtId="165" fontId="5" fillId="3" borderId="30" xfId="1" applyNumberFormat="1" applyFont="1" applyFill="1" applyBorder="1" applyAlignment="1">
      <alignment horizontal="center"/>
    </xf>
    <xf numFmtId="165" fontId="5" fillId="3" borderId="34" xfId="1" applyNumberFormat="1" applyFont="1" applyFill="1" applyBorder="1" applyAlignment="1">
      <alignment horizontal="center"/>
    </xf>
    <xf numFmtId="0" fontId="0" fillId="5" borderId="29" xfId="0" applyFill="1" applyBorder="1" applyAlignment="1">
      <alignment horizontal="left" indent="1"/>
    </xf>
    <xf numFmtId="0" fontId="0" fillId="5" borderId="4" xfId="0" applyFill="1" applyBorder="1" applyAlignment="1">
      <alignment horizontal="left" indent="1"/>
    </xf>
    <xf numFmtId="15" fontId="5" fillId="3" borderId="25" xfId="0" applyNumberFormat="1" applyFont="1" applyFill="1" applyBorder="1" applyAlignment="1">
      <alignment horizontal="center"/>
    </xf>
    <xf numFmtId="0" fontId="5" fillId="3" borderId="34" xfId="0" applyFont="1" applyFill="1" applyBorder="1" applyAlignment="1">
      <alignment horizontal="center"/>
    </xf>
    <xf numFmtId="0" fontId="5" fillId="3" borderId="25" xfId="0" applyFont="1" applyFill="1" applyBorder="1" applyAlignment="1">
      <alignment horizontal="center"/>
    </xf>
    <xf numFmtId="0" fontId="2" fillId="5" borderId="35" xfId="0" applyFont="1" applyFill="1" applyBorder="1"/>
    <xf numFmtId="0" fontId="0" fillId="5" borderId="36" xfId="0" applyFill="1" applyBorder="1"/>
    <xf numFmtId="0" fontId="5" fillId="3" borderId="37" xfId="0" applyFont="1" applyFill="1" applyBorder="1" applyAlignment="1">
      <alignment horizontal="center"/>
    </xf>
    <xf numFmtId="0" fontId="5" fillId="3" borderId="38" xfId="0" applyFont="1" applyFill="1" applyBorder="1" applyAlignment="1">
      <alignment horizontal="center"/>
    </xf>
    <xf numFmtId="0" fontId="5" fillId="3" borderId="39" xfId="0" applyFont="1" applyFill="1" applyBorder="1" applyAlignment="1">
      <alignment horizontal="center"/>
    </xf>
    <xf numFmtId="0" fontId="6" fillId="6" borderId="12" xfId="0" applyFont="1" applyFill="1" applyBorder="1" applyAlignment="1">
      <alignment horizontal="center"/>
    </xf>
    <xf numFmtId="0" fontId="6" fillId="6" borderId="13" xfId="0" applyFont="1" applyFill="1" applyBorder="1" applyAlignment="1">
      <alignment horizontal="center"/>
    </xf>
    <xf numFmtId="0" fontId="6" fillId="6" borderId="40" xfId="0" applyFont="1" applyFill="1" applyBorder="1" applyAlignment="1">
      <alignment horizontal="center"/>
    </xf>
    <xf numFmtId="0" fontId="2" fillId="7" borderId="29" xfId="0" applyFont="1" applyFill="1" applyBorder="1" applyAlignment="1">
      <alignment horizontal="center"/>
    </xf>
    <xf numFmtId="0" fontId="2" fillId="7" borderId="28" xfId="0" applyFont="1" applyFill="1" applyBorder="1" applyAlignment="1">
      <alignment horizontal="center"/>
    </xf>
    <xf numFmtId="0" fontId="2" fillId="7" borderId="34" xfId="0" applyFont="1" applyFill="1" applyBorder="1" applyAlignment="1">
      <alignment horizontal="center"/>
    </xf>
    <xf numFmtId="0" fontId="2" fillId="5" borderId="22" xfId="0" applyFont="1" applyFill="1" applyBorder="1"/>
    <xf numFmtId="0" fontId="0" fillId="5" borderId="23" xfId="0" applyFill="1" applyBorder="1"/>
    <xf numFmtId="0" fontId="0" fillId="5" borderId="24" xfId="0" applyFill="1" applyBorder="1"/>
    <xf numFmtId="165" fontId="7" fillId="3" borderId="25" xfId="1" applyNumberFormat="1" applyFont="1" applyFill="1" applyBorder="1" applyAlignment="1">
      <alignment horizontal="right"/>
    </xf>
    <xf numFmtId="165" fontId="7" fillId="3" borderId="28" xfId="1" applyNumberFormat="1" applyFont="1" applyFill="1" applyBorder="1" applyAlignment="1">
      <alignment horizontal="right"/>
    </xf>
    <xf numFmtId="165" fontId="7" fillId="3" borderId="34" xfId="1" applyNumberFormat="1" applyFont="1" applyFill="1" applyBorder="1" applyAlignment="1">
      <alignment horizontal="right"/>
    </xf>
    <xf numFmtId="4" fontId="0" fillId="2" borderId="0" xfId="0" applyNumberFormat="1" applyFill="1"/>
    <xf numFmtId="43" fontId="0" fillId="2" borderId="0" xfId="0" applyNumberFormat="1" applyFill="1"/>
    <xf numFmtId="0" fontId="0" fillId="5" borderId="30" xfId="0" applyFill="1" applyBorder="1"/>
    <xf numFmtId="165" fontId="0" fillId="2" borderId="0" xfId="0" applyNumberFormat="1" applyFill="1"/>
    <xf numFmtId="165" fontId="7" fillId="3" borderId="27" xfId="0" applyNumberFormat="1" applyFont="1" applyFill="1" applyBorder="1" applyAlignment="1">
      <alignment horizontal="right"/>
    </xf>
    <xf numFmtId="165" fontId="7" fillId="3" borderId="23" xfId="0" applyNumberFormat="1" applyFont="1" applyFill="1" applyBorder="1" applyAlignment="1">
      <alignment horizontal="right"/>
    </xf>
    <xf numFmtId="165" fontId="7" fillId="3" borderId="41" xfId="0" applyNumberFormat="1" applyFont="1" applyFill="1" applyBorder="1" applyAlignment="1">
      <alignment horizontal="right"/>
    </xf>
    <xf numFmtId="165" fontId="5" fillId="3" borderId="42" xfId="1" applyNumberFormat="1" applyFont="1" applyFill="1" applyBorder="1" applyAlignment="1">
      <alignment horizontal="right"/>
    </xf>
    <xf numFmtId="165" fontId="5" fillId="3" borderId="0" xfId="1" applyNumberFormat="1" applyFont="1" applyFill="1" applyBorder="1" applyAlignment="1">
      <alignment horizontal="right"/>
    </xf>
    <xf numFmtId="165" fontId="5" fillId="3" borderId="31" xfId="1" applyNumberFormat="1" applyFont="1" applyFill="1" applyBorder="1" applyAlignment="1">
      <alignment horizontal="right"/>
    </xf>
    <xf numFmtId="165" fontId="5" fillId="3" borderId="18" xfId="1" applyNumberFormat="1" applyFont="1" applyFill="1" applyBorder="1" applyAlignment="1">
      <alignment horizontal="right"/>
    </xf>
    <xf numFmtId="165" fontId="7" fillId="3" borderId="27" xfId="1" applyNumberFormat="1" applyFont="1" applyFill="1" applyBorder="1" applyAlignment="1">
      <alignment horizontal="right"/>
    </xf>
    <xf numFmtId="165" fontId="7" fillId="3" borderId="23" xfId="1" applyNumberFormat="1" applyFont="1" applyFill="1" applyBorder="1" applyAlignment="1">
      <alignment horizontal="right"/>
    </xf>
    <xf numFmtId="165" fontId="7" fillId="3" borderId="41" xfId="1" applyNumberFormat="1" applyFont="1" applyFill="1" applyBorder="1" applyAlignment="1">
      <alignment horizontal="right"/>
    </xf>
    <xf numFmtId="165" fontId="1" fillId="3" borderId="5" xfId="1" applyNumberFormat="1" applyFont="1" applyFill="1" applyBorder="1" applyAlignment="1"/>
    <xf numFmtId="0" fontId="0" fillId="5" borderId="26" xfId="0" applyFill="1" applyBorder="1"/>
    <xf numFmtId="0" fontId="0" fillId="5" borderId="17" xfId="0" applyFill="1" applyBorder="1" applyAlignment="1">
      <alignment horizontal="left" indent="1"/>
    </xf>
    <xf numFmtId="0" fontId="0" fillId="5" borderId="18" xfId="0" applyFill="1" applyBorder="1"/>
    <xf numFmtId="0" fontId="0" fillId="5" borderId="19" xfId="0" applyFill="1" applyBorder="1"/>
    <xf numFmtId="165" fontId="5" fillId="0" borderId="31" xfId="1" applyNumberFormat="1" applyFont="1" applyFill="1" applyBorder="1" applyAlignment="1">
      <alignment horizontal="right"/>
    </xf>
    <xf numFmtId="165" fontId="5" fillId="0" borderId="18" xfId="1" applyNumberFormat="1" applyFont="1" applyFill="1" applyBorder="1" applyAlignment="1">
      <alignment horizontal="right"/>
    </xf>
    <xf numFmtId="165" fontId="0" fillId="3" borderId="5" xfId="1" applyNumberFormat="1" applyFont="1" applyFill="1" applyBorder="1" applyAlignment="1"/>
    <xf numFmtId="0" fontId="0" fillId="5" borderId="4" xfId="0" applyFill="1" applyBorder="1" applyAlignment="1">
      <alignment horizontal="left" indent="2"/>
    </xf>
    <xf numFmtId="165" fontId="0" fillId="3" borderId="0" xfId="1" applyNumberFormat="1" applyFont="1" applyFill="1" applyBorder="1" applyAlignment="1">
      <alignment horizontal="right"/>
    </xf>
    <xf numFmtId="165" fontId="0" fillId="3" borderId="43" xfId="1" applyNumberFormat="1" applyFont="1" applyFill="1" applyBorder="1" applyAlignment="1"/>
    <xf numFmtId="0" fontId="2" fillId="5" borderId="22" xfId="0" applyFont="1" applyFill="1" applyBorder="1" applyAlignment="1">
      <alignment horizontal="left"/>
    </xf>
    <xf numFmtId="165" fontId="0" fillId="2" borderId="0" xfId="1" applyNumberFormat="1" applyFont="1" applyFill="1"/>
    <xf numFmtId="165" fontId="1" fillId="3" borderId="5" xfId="1" applyNumberFormat="1" applyFont="1" applyFill="1" applyBorder="1" applyAlignment="1">
      <alignment horizontal="right"/>
    </xf>
    <xf numFmtId="165" fontId="1" fillId="3" borderId="0" xfId="1" applyNumberFormat="1" applyFont="1" applyFill="1" applyBorder="1" applyAlignment="1">
      <alignment horizontal="right"/>
    </xf>
    <xf numFmtId="165" fontId="1" fillId="3" borderId="0" xfId="1" applyNumberFormat="1" applyFont="1" applyFill="1" applyBorder="1" applyAlignment="1"/>
    <xf numFmtId="165" fontId="1" fillId="3" borderId="43" xfId="1" applyNumberFormat="1" applyFont="1" applyFill="1" applyBorder="1" applyAlignment="1">
      <alignment horizontal="right"/>
    </xf>
    <xf numFmtId="0" fontId="2" fillId="5" borderId="4" xfId="0" applyFont="1" applyFill="1" applyBorder="1" applyAlignment="1">
      <alignment horizontal="left"/>
    </xf>
    <xf numFmtId="0" fontId="0" fillId="5" borderId="6" xfId="0" applyFill="1" applyBorder="1" applyAlignment="1">
      <alignment horizontal="left" indent="1"/>
    </xf>
    <xf numFmtId="0" fontId="0" fillId="5" borderId="7" xfId="0" applyFill="1" applyBorder="1"/>
    <xf numFmtId="165" fontId="5" fillId="3" borderId="44" xfId="1" applyNumberFormat="1" applyFont="1" applyFill="1" applyBorder="1" applyAlignment="1">
      <alignment horizontal="right"/>
    </xf>
    <xf numFmtId="165" fontId="5" fillId="3" borderId="7" xfId="1" applyNumberFormat="1" applyFont="1" applyFill="1" applyBorder="1" applyAlignment="1">
      <alignment horizontal="right"/>
    </xf>
    <xf numFmtId="0" fontId="0" fillId="3" borderId="8" xfId="0" applyFill="1" applyBorder="1"/>
    <xf numFmtId="0" fontId="0" fillId="3" borderId="0" xfId="0" applyFill="1" applyAlignment="1">
      <alignment horizontal="left" indent="1"/>
    </xf>
    <xf numFmtId="0" fontId="6" fillId="5" borderId="23" xfId="0" applyFont="1" applyFill="1" applyBorder="1" applyAlignment="1">
      <alignment horizontal="center"/>
    </xf>
    <xf numFmtId="0" fontId="6" fillId="5" borderId="24" xfId="0" applyFont="1" applyFill="1" applyBorder="1" applyAlignment="1">
      <alignment horizontal="center"/>
    </xf>
    <xf numFmtId="165" fontId="0" fillId="3" borderId="5" xfId="0" applyNumberFormat="1" applyFill="1" applyBorder="1"/>
    <xf numFmtId="0" fontId="0" fillId="5" borderId="45" xfId="0" applyFill="1" applyBorder="1"/>
    <xf numFmtId="165" fontId="5" fillId="0" borderId="44" xfId="1" applyNumberFormat="1" applyFont="1" applyFill="1" applyBorder="1" applyAlignment="1">
      <alignment horizontal="right"/>
    </xf>
    <xf numFmtId="165" fontId="5" fillId="0" borderId="7" xfId="1" applyNumberFormat="1" applyFont="1" applyFill="1" applyBorder="1" applyAlignment="1">
      <alignment horizontal="right"/>
    </xf>
    <xf numFmtId="165" fontId="0" fillId="3" borderId="8" xfId="1" applyNumberFormat="1" applyFont="1" applyFill="1" applyBorder="1" applyAlignment="1"/>
    <xf numFmtId="164" fontId="0" fillId="3" borderId="0" xfId="1" applyFont="1" applyFill="1" applyBorder="1" applyAlignment="1">
      <alignment horizontal="right"/>
    </xf>
    <xf numFmtId="164" fontId="0" fillId="3" borderId="0" xfId="1" applyFont="1" applyFill="1" applyBorder="1" applyAlignment="1"/>
    <xf numFmtId="0" fontId="2" fillId="5" borderId="17" xfId="0" applyFont="1" applyFill="1" applyBorder="1" applyAlignment="1">
      <alignment horizontal="left"/>
    </xf>
    <xf numFmtId="165" fontId="5" fillId="3" borderId="31" xfId="0" applyNumberFormat="1" applyFont="1" applyFill="1" applyBorder="1" applyAlignment="1">
      <alignment horizontal="right"/>
    </xf>
    <xf numFmtId="165" fontId="5" fillId="3" borderId="18" xfId="0" applyNumberFormat="1" applyFont="1" applyFill="1" applyBorder="1" applyAlignment="1">
      <alignment horizontal="right"/>
    </xf>
    <xf numFmtId="165" fontId="5" fillId="3" borderId="43" xfId="0" applyNumberFormat="1" applyFont="1" applyFill="1" applyBorder="1" applyAlignment="1">
      <alignment horizontal="right"/>
    </xf>
    <xf numFmtId="0" fontId="2" fillId="5" borderId="29" xfId="0" applyFont="1" applyFill="1" applyBorder="1" applyAlignment="1">
      <alignment horizontal="left"/>
    </xf>
    <xf numFmtId="165" fontId="5" fillId="0" borderId="31" xfId="0" applyNumberFormat="1" applyFont="1" applyBorder="1" applyAlignment="1">
      <alignment horizontal="right"/>
    </xf>
    <xf numFmtId="165" fontId="5" fillId="0" borderId="18" xfId="0" applyNumberFormat="1" applyFont="1" applyBorder="1" applyAlignment="1">
      <alignment horizontal="right"/>
    </xf>
    <xf numFmtId="165" fontId="5" fillId="0" borderId="43" xfId="0" applyNumberFormat="1" applyFont="1" applyBorder="1" applyAlignment="1">
      <alignment horizontal="right"/>
    </xf>
    <xf numFmtId="0" fontId="2" fillId="5" borderId="6" xfId="0" applyFont="1" applyFill="1" applyBorder="1" applyAlignment="1">
      <alignment horizontal="left"/>
    </xf>
    <xf numFmtId="0" fontId="2" fillId="5" borderId="45" xfId="0" applyFont="1" applyFill="1" applyBorder="1"/>
    <xf numFmtId="164" fontId="5" fillId="3" borderId="44" xfId="0" applyNumberFormat="1" applyFont="1" applyFill="1" applyBorder="1" applyAlignment="1">
      <alignment horizontal="right"/>
    </xf>
    <xf numFmtId="0" fontId="5" fillId="3" borderId="7" xfId="0" applyFont="1" applyFill="1" applyBorder="1" applyAlignment="1">
      <alignment horizontal="right"/>
    </xf>
    <xf numFmtId="0" fontId="5" fillId="3" borderId="8" xfId="0" applyFont="1" applyFill="1" applyBorder="1" applyAlignment="1">
      <alignment horizontal="right"/>
    </xf>
    <xf numFmtId="0" fontId="6" fillId="7" borderId="4" xfId="0" applyFont="1" applyFill="1" applyBorder="1" applyAlignment="1">
      <alignment horizontal="center"/>
    </xf>
    <xf numFmtId="0" fontId="6" fillId="7" borderId="0" xfId="0" applyFont="1" applyFill="1" applyAlignment="1">
      <alignment horizontal="center"/>
    </xf>
    <xf numFmtId="0" fontId="2" fillId="7" borderId="25" xfId="0" applyFont="1" applyFill="1" applyBorder="1" applyAlignment="1">
      <alignment horizontal="center"/>
    </xf>
    <xf numFmtId="0" fontId="2" fillId="7" borderId="30" xfId="0" applyFont="1" applyFill="1" applyBorder="1" applyAlignment="1">
      <alignment horizontal="center"/>
    </xf>
    <xf numFmtId="0" fontId="2" fillId="7" borderId="27" xfId="0" applyFont="1" applyFill="1" applyBorder="1" applyAlignment="1">
      <alignment horizontal="center"/>
    </xf>
    <xf numFmtId="0" fontId="2" fillId="7" borderId="24" xfId="0" applyFont="1" applyFill="1" applyBorder="1" applyAlignment="1">
      <alignment horizontal="center"/>
    </xf>
    <xf numFmtId="0" fontId="2" fillId="7" borderId="0" xfId="0" applyFont="1" applyFill="1" applyAlignment="1">
      <alignment horizontal="center"/>
    </xf>
    <xf numFmtId="0" fontId="2" fillId="7" borderId="5" xfId="0" applyFont="1" applyFill="1" applyBorder="1" applyAlignment="1">
      <alignment horizontal="center"/>
    </xf>
    <xf numFmtId="164" fontId="5" fillId="3" borderId="25" xfId="1" applyFont="1" applyFill="1" applyBorder="1" applyAlignment="1">
      <alignment horizontal="center"/>
    </xf>
    <xf numFmtId="164" fontId="5" fillId="3" borderId="30" xfId="1" applyFont="1" applyFill="1" applyBorder="1" applyAlignment="1">
      <alignment horizontal="center"/>
    </xf>
    <xf numFmtId="164" fontId="5" fillId="3" borderId="34" xfId="1" applyFont="1" applyFill="1" applyBorder="1" applyAlignment="1">
      <alignment horizontal="center"/>
    </xf>
    <xf numFmtId="164" fontId="5" fillId="3" borderId="37" xfId="1" applyFont="1" applyFill="1" applyBorder="1" applyAlignment="1">
      <alignment horizontal="center"/>
    </xf>
    <xf numFmtId="164" fontId="5" fillId="3" borderId="38" xfId="1" applyFont="1" applyFill="1" applyBorder="1" applyAlignment="1">
      <alignment horizontal="center"/>
    </xf>
    <xf numFmtId="164" fontId="5" fillId="3" borderId="39" xfId="1" applyFont="1" applyFill="1" applyBorder="1" applyAlignment="1">
      <alignment horizontal="center"/>
    </xf>
    <xf numFmtId="164" fontId="5" fillId="3" borderId="42" xfId="0" applyNumberFormat="1" applyFont="1" applyFill="1" applyBorder="1" applyAlignment="1">
      <alignment horizontal="right"/>
    </xf>
    <xf numFmtId="164" fontId="5" fillId="3" borderId="0" xfId="0" applyNumberFormat="1" applyFont="1" applyFill="1" applyAlignment="1">
      <alignment horizontal="right"/>
    </xf>
    <xf numFmtId="0" fontId="5" fillId="3" borderId="5" xfId="0" applyFont="1" applyFill="1" applyBorder="1"/>
    <xf numFmtId="0" fontId="9" fillId="3" borderId="31" xfId="0" applyFont="1" applyFill="1" applyBorder="1" applyAlignment="1">
      <alignment horizontal="right"/>
    </xf>
    <xf numFmtId="0" fontId="9" fillId="3" borderId="18" xfId="0" applyFont="1" applyFill="1" applyBorder="1" applyAlignment="1">
      <alignment horizontal="right"/>
    </xf>
    <xf numFmtId="0" fontId="9" fillId="3" borderId="43" xfId="0" applyFont="1" applyFill="1" applyBorder="1" applyAlignment="1">
      <alignment horizontal="right"/>
    </xf>
    <xf numFmtId="0" fontId="0" fillId="5" borderId="22" xfId="0" applyFill="1" applyBorder="1" applyAlignment="1">
      <alignment horizontal="left" indent="1"/>
    </xf>
    <xf numFmtId="0" fontId="2" fillId="5" borderId="24" xfId="0" applyFont="1" applyFill="1" applyBorder="1" applyAlignment="1">
      <alignment horizontal="right"/>
    </xf>
    <xf numFmtId="0" fontId="5" fillId="3" borderId="27" xfId="0" applyFont="1" applyFill="1" applyBorder="1" applyAlignment="1">
      <alignment horizontal="right"/>
    </xf>
    <xf numFmtId="0" fontId="5" fillId="3" borderId="23" xfId="0" applyFont="1" applyFill="1" applyBorder="1" applyAlignment="1">
      <alignment horizontal="right"/>
    </xf>
    <xf numFmtId="0" fontId="2" fillId="3" borderId="41" xfId="0" applyFont="1" applyFill="1" applyBorder="1" applyAlignment="1">
      <alignment horizontal="right"/>
    </xf>
    <xf numFmtId="0" fontId="2" fillId="5" borderId="26" xfId="0" applyFont="1" applyFill="1" applyBorder="1" applyAlignment="1">
      <alignment horizontal="right"/>
    </xf>
    <xf numFmtId="0" fontId="0" fillId="3" borderId="42" xfId="0" applyFill="1" applyBorder="1" applyAlignment="1">
      <alignment horizontal="right"/>
    </xf>
    <xf numFmtId="0" fontId="0" fillId="3" borderId="0" xfId="0" applyFill="1" applyAlignment="1">
      <alignment horizontal="right"/>
    </xf>
    <xf numFmtId="0" fontId="0" fillId="3" borderId="0" xfId="0" applyFill="1" applyAlignment="1">
      <alignment horizontal="right"/>
    </xf>
    <xf numFmtId="0" fontId="2" fillId="3" borderId="5" xfId="0" applyFont="1" applyFill="1" applyBorder="1" applyAlignment="1">
      <alignment horizontal="right"/>
    </xf>
    <xf numFmtId="0" fontId="5" fillId="3" borderId="42" xfId="0" applyFont="1" applyFill="1" applyBorder="1" applyAlignment="1">
      <alignment horizontal="right"/>
    </xf>
    <xf numFmtId="0" fontId="5" fillId="3" borderId="0" xfId="0" applyFont="1" applyFill="1" applyAlignment="1">
      <alignment horizontal="right"/>
    </xf>
    <xf numFmtId="0" fontId="2" fillId="5" borderId="19" xfId="0" applyFont="1" applyFill="1" applyBorder="1" applyAlignment="1">
      <alignment horizontal="right"/>
    </xf>
    <xf numFmtId="0" fontId="2" fillId="5" borderId="45" xfId="0" applyFont="1" applyFill="1" applyBorder="1" applyAlignment="1">
      <alignment horizontal="right"/>
    </xf>
    <xf numFmtId="0" fontId="2" fillId="5" borderId="29" xfId="0" applyFont="1" applyFill="1" applyBorder="1" applyAlignment="1">
      <alignment horizontal="left" vertical="center"/>
    </xf>
    <xf numFmtId="0" fontId="2" fillId="5" borderId="28" xfId="0" applyFont="1" applyFill="1" applyBorder="1" applyAlignment="1">
      <alignment horizontal="left" vertical="center"/>
    </xf>
    <xf numFmtId="0" fontId="2" fillId="5" borderId="30" xfId="0" applyFont="1" applyFill="1" applyBorder="1" applyAlignment="1">
      <alignment horizontal="left" vertical="center"/>
    </xf>
    <xf numFmtId="0" fontId="2" fillId="5" borderId="25" xfId="0" applyFont="1" applyFill="1" applyBorder="1" applyAlignment="1">
      <alignment horizontal="center" vertical="center"/>
    </xf>
    <xf numFmtId="0" fontId="2" fillId="5" borderId="28" xfId="0" applyFont="1" applyFill="1" applyBorder="1" applyAlignment="1">
      <alignment horizontal="center" vertical="center"/>
    </xf>
    <xf numFmtId="0" fontId="2" fillId="5" borderId="30" xfId="0" applyFont="1" applyFill="1" applyBorder="1" applyAlignment="1">
      <alignment horizontal="center" vertical="center"/>
    </xf>
    <xf numFmtId="0" fontId="2" fillId="5" borderId="25" xfId="0" applyFont="1" applyFill="1" applyBorder="1" applyAlignment="1">
      <alignment horizontal="center" vertical="center" wrapText="1"/>
    </xf>
    <xf numFmtId="0" fontId="2" fillId="5" borderId="28" xfId="0" applyFont="1" applyFill="1" applyBorder="1" applyAlignment="1">
      <alignment horizontal="center" vertical="center" wrapText="1"/>
    </xf>
    <xf numFmtId="0" fontId="2" fillId="5" borderId="30" xfId="0" applyFont="1" applyFill="1" applyBorder="1" applyAlignment="1">
      <alignment horizontal="center" vertical="center" wrapText="1"/>
    </xf>
    <xf numFmtId="0" fontId="2" fillId="5" borderId="34" xfId="0" applyFont="1" applyFill="1" applyBorder="1" applyAlignment="1">
      <alignment horizontal="center" vertical="center"/>
    </xf>
    <xf numFmtId="165" fontId="5" fillId="3" borderId="27" xfId="1" applyNumberFormat="1" applyFont="1" applyFill="1" applyBorder="1" applyAlignment="1">
      <alignment horizontal="right"/>
    </xf>
    <xf numFmtId="165" fontId="5" fillId="3" borderId="23" xfId="1" applyNumberFormat="1" applyFont="1" applyFill="1" applyBorder="1" applyAlignment="1">
      <alignment horizontal="right"/>
    </xf>
    <xf numFmtId="165" fontId="5" fillId="3" borderId="25" xfId="1" applyNumberFormat="1" applyFont="1" applyFill="1" applyBorder="1" applyAlignment="1">
      <alignment horizontal="right"/>
    </xf>
    <xf numFmtId="165" fontId="5" fillId="3" borderId="28" xfId="1" applyNumberFormat="1" applyFont="1" applyFill="1" applyBorder="1" applyAlignment="1">
      <alignment horizontal="right"/>
    </xf>
    <xf numFmtId="165" fontId="5" fillId="3" borderId="30" xfId="1" applyNumberFormat="1" applyFont="1" applyFill="1" applyBorder="1" applyAlignment="1">
      <alignment horizontal="right"/>
    </xf>
    <xf numFmtId="165" fontId="5" fillId="3" borderId="41" xfId="1" applyNumberFormat="1" applyFont="1" applyFill="1" applyBorder="1" applyAlignment="1">
      <alignment horizontal="right"/>
    </xf>
    <xf numFmtId="165" fontId="5" fillId="3" borderId="24" xfId="1" applyNumberFormat="1" applyFont="1" applyFill="1" applyBorder="1" applyAlignment="1">
      <alignment horizontal="right"/>
    </xf>
    <xf numFmtId="165" fontId="5" fillId="3" borderId="0" xfId="1" applyNumberFormat="1" applyFont="1" applyFill="1" applyBorder="1" applyAlignment="1">
      <alignment horizontal="center"/>
    </xf>
    <xf numFmtId="165" fontId="5" fillId="3" borderId="26" xfId="1" applyNumberFormat="1" applyFont="1" applyFill="1" applyBorder="1" applyAlignment="1">
      <alignment horizontal="center"/>
    </xf>
    <xf numFmtId="165" fontId="5" fillId="3" borderId="5" xfId="1" applyNumberFormat="1" applyFont="1" applyFill="1" applyBorder="1" applyAlignment="1">
      <alignment horizontal="center"/>
    </xf>
    <xf numFmtId="165" fontId="5" fillId="3" borderId="18" xfId="1" applyNumberFormat="1" applyFont="1" applyFill="1" applyBorder="1" applyAlignment="1">
      <alignment horizontal="center"/>
    </xf>
    <xf numFmtId="165" fontId="5" fillId="3" borderId="19" xfId="1" applyNumberFormat="1" applyFont="1" applyFill="1" applyBorder="1" applyAlignment="1">
      <alignment horizontal="center"/>
    </xf>
    <xf numFmtId="165" fontId="5" fillId="3" borderId="43" xfId="1" applyNumberFormat="1" applyFont="1" applyFill="1" applyBorder="1" applyAlignment="1">
      <alignment horizontal="center"/>
    </xf>
    <xf numFmtId="165" fontId="5" fillId="3" borderId="19" xfId="1" applyNumberFormat="1" applyFont="1" applyFill="1" applyBorder="1" applyAlignment="1">
      <alignment horizontal="right"/>
    </xf>
    <xf numFmtId="165" fontId="5" fillId="3" borderId="43" xfId="1" applyNumberFormat="1" applyFont="1" applyFill="1" applyBorder="1" applyAlignment="1">
      <alignment horizontal="right"/>
    </xf>
    <xf numFmtId="165" fontId="5" fillId="3" borderId="26" xfId="1" applyNumberFormat="1" applyFont="1" applyFill="1" applyBorder="1" applyAlignment="1">
      <alignment horizontal="right"/>
    </xf>
    <xf numFmtId="165" fontId="5" fillId="3" borderId="5" xfId="1" applyNumberFormat="1" applyFont="1" applyFill="1" applyBorder="1" applyAlignment="1">
      <alignment horizontal="right"/>
    </xf>
    <xf numFmtId="164" fontId="5" fillId="3" borderId="42" xfId="1" applyFont="1" applyFill="1" applyBorder="1" applyAlignment="1">
      <alignment horizontal="right"/>
    </xf>
    <xf numFmtId="164" fontId="5" fillId="3" borderId="0" xfId="1" applyFont="1" applyFill="1" applyBorder="1" applyAlignment="1">
      <alignment horizontal="right"/>
    </xf>
    <xf numFmtId="0" fontId="2" fillId="7" borderId="35" xfId="0" applyFont="1" applyFill="1" applyBorder="1" applyAlignment="1">
      <alignment horizontal="left"/>
    </xf>
    <xf numFmtId="0" fontId="0" fillId="7" borderId="36" xfId="0" applyFill="1" applyBorder="1"/>
    <xf numFmtId="0" fontId="0" fillId="7" borderId="38" xfId="0" applyFill="1" applyBorder="1"/>
    <xf numFmtId="165" fontId="10" fillId="7" borderId="37" xfId="1" applyNumberFormat="1" applyFont="1" applyFill="1" applyBorder="1" applyAlignment="1">
      <alignment horizontal="right"/>
    </xf>
    <xf numFmtId="165" fontId="10" fillId="7" borderId="36" xfId="1" applyNumberFormat="1" applyFont="1" applyFill="1" applyBorder="1" applyAlignment="1">
      <alignment horizontal="right"/>
    </xf>
    <xf numFmtId="165" fontId="10" fillId="7" borderId="38" xfId="1" applyNumberFormat="1" applyFont="1" applyFill="1" applyBorder="1" applyAlignment="1">
      <alignment horizontal="right"/>
    </xf>
    <xf numFmtId="165" fontId="10" fillId="7" borderId="39" xfId="1" applyNumberFormat="1" applyFont="1" applyFill="1" applyBorder="1" applyAlignment="1">
      <alignment horizontal="right"/>
    </xf>
    <xf numFmtId="0" fontId="6" fillId="5" borderId="28" xfId="0" applyFont="1" applyFill="1" applyBorder="1" applyAlignment="1">
      <alignment horizontal="center"/>
    </xf>
    <xf numFmtId="0" fontId="6" fillId="5" borderId="30" xfId="0" applyFont="1" applyFill="1" applyBorder="1" applyAlignment="1">
      <alignment horizontal="center"/>
    </xf>
    <xf numFmtId="165" fontId="5" fillId="3" borderId="34" xfId="1" applyNumberFormat="1" applyFont="1" applyFill="1" applyBorder="1" applyAlignment="1">
      <alignment horizontal="right"/>
    </xf>
    <xf numFmtId="165" fontId="5" fillId="3" borderId="8" xfId="1" applyNumberFormat="1" applyFont="1" applyFill="1" applyBorder="1" applyAlignment="1">
      <alignment horizontal="right"/>
    </xf>
    <xf numFmtId="0" fontId="6" fillId="6" borderId="1" xfId="0" applyFont="1" applyFill="1" applyBorder="1" applyAlignment="1">
      <alignment horizontal="center"/>
    </xf>
    <xf numFmtId="0" fontId="6" fillId="6" borderId="2" xfId="0" applyFont="1" applyFill="1" applyBorder="1" applyAlignment="1">
      <alignment horizontal="center"/>
    </xf>
    <xf numFmtId="0" fontId="6" fillId="6" borderId="3" xfId="0" applyFont="1" applyFill="1" applyBorder="1" applyAlignment="1">
      <alignment horizontal="center"/>
    </xf>
    <xf numFmtId="164" fontId="5" fillId="3" borderId="25" xfId="1" applyFont="1" applyFill="1" applyBorder="1" applyAlignment="1">
      <alignment horizontal="right"/>
    </xf>
    <xf numFmtId="164" fontId="5" fillId="3" borderId="28" xfId="1" applyFont="1" applyFill="1" applyBorder="1" applyAlignment="1">
      <alignment horizontal="right"/>
    </xf>
    <xf numFmtId="164" fontId="5" fillId="3" borderId="34" xfId="1" applyFont="1" applyFill="1" applyBorder="1" applyAlignment="1">
      <alignment horizontal="right"/>
    </xf>
    <xf numFmtId="167" fontId="5" fillId="3" borderId="25" xfId="1" applyNumberFormat="1" applyFont="1" applyFill="1" applyBorder="1" applyAlignment="1">
      <alignment horizontal="right"/>
    </xf>
    <xf numFmtId="167" fontId="5" fillId="3" borderId="28" xfId="1" applyNumberFormat="1" applyFont="1" applyFill="1" applyBorder="1" applyAlignment="1">
      <alignment horizontal="right"/>
    </xf>
    <xf numFmtId="167" fontId="5" fillId="3" borderId="34" xfId="1" applyNumberFormat="1" applyFont="1" applyFill="1" applyBorder="1" applyAlignment="1">
      <alignment horizontal="right"/>
    </xf>
    <xf numFmtId="0" fontId="2" fillId="5" borderId="35" xfId="0" applyFont="1" applyFill="1" applyBorder="1" applyAlignment="1">
      <alignment horizontal="left"/>
    </xf>
    <xf numFmtId="0" fontId="6" fillId="5" borderId="36" xfId="0" applyFont="1" applyFill="1" applyBorder="1" applyAlignment="1">
      <alignment horizontal="center"/>
    </xf>
    <xf numFmtId="0" fontId="6" fillId="5" borderId="38" xfId="0" applyFont="1" applyFill="1" applyBorder="1" applyAlignment="1">
      <alignment horizontal="center"/>
    </xf>
    <xf numFmtId="165" fontId="5" fillId="3" borderId="37" xfId="1" applyNumberFormat="1" applyFont="1" applyFill="1" applyBorder="1" applyAlignment="1">
      <alignment horizontal="right"/>
    </xf>
    <xf numFmtId="165" fontId="5" fillId="3" borderId="36" xfId="1" applyNumberFormat="1" applyFont="1" applyFill="1" applyBorder="1" applyAlignment="1">
      <alignment horizontal="right"/>
    </xf>
    <xf numFmtId="165" fontId="5" fillId="3" borderId="39" xfId="1" applyNumberFormat="1" applyFont="1" applyFill="1" applyBorder="1" applyAlignment="1">
      <alignment horizontal="right"/>
    </xf>
    <xf numFmtId="0" fontId="2" fillId="3" borderId="0" xfId="0" applyFont="1" applyFill="1" applyAlignment="1">
      <alignment horizontal="left"/>
    </xf>
    <xf numFmtId="0" fontId="6" fillId="3" borderId="0" xfId="0" applyFont="1" applyFill="1" applyAlignment="1">
      <alignment horizontal="center"/>
    </xf>
    <xf numFmtId="0" fontId="11" fillId="3" borderId="0" xfId="0" applyFont="1" applyFill="1" applyAlignment="1">
      <alignment horizontal="right"/>
    </xf>
    <xf numFmtId="10" fontId="7" fillId="3" borderId="25" xfId="0" applyNumberFormat="1" applyFont="1" applyFill="1" applyBorder="1" applyAlignment="1">
      <alignment horizontal="center" vertical="center"/>
    </xf>
    <xf numFmtId="10" fontId="7" fillId="3" borderId="28" xfId="0" applyNumberFormat="1" applyFont="1" applyFill="1" applyBorder="1" applyAlignment="1">
      <alignment horizontal="center" vertical="center"/>
    </xf>
    <xf numFmtId="10" fontId="7" fillId="3" borderId="34" xfId="0" applyNumberFormat="1" applyFont="1" applyFill="1" applyBorder="1" applyAlignment="1">
      <alignment horizontal="center" vertical="center"/>
    </xf>
    <xf numFmtId="0" fontId="2" fillId="5" borderId="28" xfId="0" applyFont="1" applyFill="1" applyBorder="1" applyAlignment="1">
      <alignment horizontal="center"/>
    </xf>
    <xf numFmtId="0" fontId="2" fillId="5" borderId="20" xfId="0" applyFont="1" applyFill="1" applyBorder="1" applyAlignment="1">
      <alignment horizontal="center"/>
    </xf>
    <xf numFmtId="0" fontId="2" fillId="5" borderId="21" xfId="0" applyFont="1" applyFill="1" applyBorder="1" applyAlignment="1">
      <alignment horizontal="center"/>
    </xf>
    <xf numFmtId="14" fontId="5" fillId="3" borderId="25" xfId="0" applyNumberFormat="1" applyFont="1" applyFill="1" applyBorder="1" applyAlignment="1">
      <alignment horizontal="center"/>
    </xf>
    <xf numFmtId="14" fontId="5" fillId="3" borderId="30" xfId="0" applyNumberFormat="1" applyFont="1" applyFill="1" applyBorder="1" applyAlignment="1">
      <alignment horizontal="center"/>
    </xf>
    <xf numFmtId="167" fontId="7" fillId="3" borderId="25" xfId="0" applyNumberFormat="1" applyFont="1" applyFill="1" applyBorder="1" applyAlignment="1">
      <alignment horizontal="right"/>
    </xf>
    <xf numFmtId="167" fontId="7" fillId="3" borderId="28" xfId="0" applyNumberFormat="1" applyFont="1" applyFill="1" applyBorder="1" applyAlignment="1">
      <alignment horizontal="right"/>
    </xf>
    <xf numFmtId="167" fontId="7" fillId="3" borderId="30" xfId="0" applyNumberFormat="1" applyFont="1" applyFill="1" applyBorder="1" applyAlignment="1">
      <alignment horizontal="right"/>
    </xf>
    <xf numFmtId="167" fontId="7" fillId="3" borderId="34" xfId="0" applyNumberFormat="1" applyFont="1" applyFill="1" applyBorder="1" applyAlignment="1">
      <alignment horizontal="right"/>
    </xf>
    <xf numFmtId="0" fontId="2" fillId="5" borderId="23" xfId="0" applyFont="1" applyFill="1" applyBorder="1"/>
    <xf numFmtId="0" fontId="2" fillId="8" borderId="27" xfId="0" applyFont="1" applyFill="1" applyBorder="1" applyAlignment="1">
      <alignment horizontal="center"/>
    </xf>
    <xf numFmtId="0" fontId="2" fillId="8" borderId="24" xfId="0" applyFont="1" applyFill="1" applyBorder="1" applyAlignment="1">
      <alignment horizontal="center"/>
    </xf>
    <xf numFmtId="0" fontId="12" fillId="8" borderId="27" xfId="0" applyFont="1" applyFill="1" applyBorder="1" applyAlignment="1">
      <alignment horizontal="center"/>
    </xf>
    <xf numFmtId="0" fontId="12" fillId="8" borderId="24" xfId="0" applyFont="1" applyFill="1" applyBorder="1" applyAlignment="1">
      <alignment horizontal="center"/>
    </xf>
    <xf numFmtId="167" fontId="7" fillId="8" borderId="27" xfId="1" applyNumberFormat="1" applyFont="1" applyFill="1" applyBorder="1" applyAlignment="1">
      <alignment horizontal="right"/>
    </xf>
    <xf numFmtId="167" fontId="7" fillId="8" borderId="23" xfId="1" applyNumberFormat="1" applyFont="1" applyFill="1" applyBorder="1" applyAlignment="1">
      <alignment horizontal="right"/>
    </xf>
    <xf numFmtId="167" fontId="7" fillId="8" borderId="24" xfId="1" applyNumberFormat="1" applyFont="1" applyFill="1" applyBorder="1" applyAlignment="1">
      <alignment horizontal="right"/>
    </xf>
    <xf numFmtId="167" fontId="7" fillId="8" borderId="27" xfId="0" applyNumberFormat="1" applyFont="1" applyFill="1" applyBorder="1" applyAlignment="1">
      <alignment horizontal="right"/>
    </xf>
    <xf numFmtId="167" fontId="7" fillId="8" borderId="23" xfId="0" applyNumberFormat="1" applyFont="1" applyFill="1" applyBorder="1" applyAlignment="1">
      <alignment horizontal="right"/>
    </xf>
    <xf numFmtId="167" fontId="7" fillId="8" borderId="41" xfId="0" applyNumberFormat="1" applyFont="1" applyFill="1" applyBorder="1" applyAlignment="1">
      <alignment horizontal="right"/>
    </xf>
    <xf numFmtId="16" fontId="5" fillId="3" borderId="42" xfId="0" applyNumberFormat="1" applyFont="1" applyFill="1" applyBorder="1" applyAlignment="1">
      <alignment horizontal="center"/>
    </xf>
    <xf numFmtId="0" fontId="5" fillId="3" borderId="26" xfId="0" applyFont="1" applyFill="1" applyBorder="1" applyAlignment="1">
      <alignment horizontal="center"/>
    </xf>
    <xf numFmtId="10" fontId="7" fillId="3" borderId="42" xfId="0" applyNumberFormat="1" applyFont="1" applyFill="1" applyBorder="1" applyAlignment="1">
      <alignment horizontal="center"/>
    </xf>
    <xf numFmtId="0" fontId="7" fillId="3" borderId="26" xfId="0" applyFont="1" applyFill="1" applyBorder="1" applyAlignment="1">
      <alignment horizontal="center"/>
    </xf>
    <xf numFmtId="167" fontId="7" fillId="3" borderId="42" xfId="1" applyNumberFormat="1" applyFont="1" applyFill="1" applyBorder="1" applyAlignment="1">
      <alignment horizontal="right"/>
    </xf>
    <xf numFmtId="167" fontId="7" fillId="3" borderId="0" xfId="1" applyNumberFormat="1" applyFont="1" applyFill="1" applyBorder="1" applyAlignment="1">
      <alignment horizontal="right"/>
    </xf>
    <xf numFmtId="167" fontId="7" fillId="3" borderId="26" xfId="1" applyNumberFormat="1" applyFont="1" applyFill="1" applyBorder="1" applyAlignment="1">
      <alignment horizontal="right"/>
    </xf>
    <xf numFmtId="167" fontId="7" fillId="3" borderId="42" xfId="0" applyNumberFormat="1" applyFont="1" applyFill="1" applyBorder="1" applyAlignment="1">
      <alignment horizontal="right"/>
    </xf>
    <xf numFmtId="167" fontId="7" fillId="3" borderId="0" xfId="0" applyNumberFormat="1" applyFont="1" applyFill="1" applyAlignment="1">
      <alignment horizontal="right"/>
    </xf>
    <xf numFmtId="167" fontId="7" fillId="3" borderId="5" xfId="0" applyNumberFormat="1" applyFont="1" applyFill="1" applyBorder="1" applyAlignment="1">
      <alignment horizontal="right"/>
    </xf>
    <xf numFmtId="0" fontId="5" fillId="3" borderId="31" xfId="0" applyFont="1" applyFill="1" applyBorder="1" applyAlignment="1">
      <alignment horizontal="center"/>
    </xf>
    <xf numFmtId="0" fontId="5" fillId="3" borderId="19" xfId="0" applyFont="1" applyFill="1" applyBorder="1" applyAlignment="1">
      <alignment horizontal="center"/>
    </xf>
    <xf numFmtId="0" fontId="7" fillId="3" borderId="31" xfId="0" applyFont="1" applyFill="1" applyBorder="1" applyAlignment="1">
      <alignment horizontal="center"/>
    </xf>
    <xf numFmtId="0" fontId="7" fillId="3" borderId="19" xfId="0" applyFont="1" applyFill="1" applyBorder="1" applyAlignment="1">
      <alignment horizontal="center"/>
    </xf>
    <xf numFmtId="167" fontId="7" fillId="3" borderId="31" xfId="1" applyNumberFormat="1" applyFont="1" applyFill="1" applyBorder="1" applyAlignment="1">
      <alignment horizontal="right"/>
    </xf>
    <xf numFmtId="167" fontId="7" fillId="3" borderId="18" xfId="1" applyNumberFormat="1" applyFont="1" applyFill="1" applyBorder="1" applyAlignment="1">
      <alignment horizontal="right"/>
    </xf>
    <xf numFmtId="167" fontId="7" fillId="3" borderId="19" xfId="1" applyNumberFormat="1" applyFont="1" applyFill="1" applyBorder="1" applyAlignment="1">
      <alignment horizontal="right"/>
    </xf>
    <xf numFmtId="0" fontId="12" fillId="5" borderId="23" xfId="0" applyFont="1" applyFill="1" applyBorder="1"/>
    <xf numFmtId="0" fontId="12" fillId="5" borderId="24" xfId="0" applyFont="1" applyFill="1" applyBorder="1"/>
    <xf numFmtId="10" fontId="0" fillId="2" borderId="0" xfId="0" applyNumberFormat="1" applyFill="1"/>
    <xf numFmtId="0" fontId="6" fillId="5" borderId="7" xfId="0" applyFont="1" applyFill="1" applyBorder="1" applyAlignment="1">
      <alignment horizontal="center"/>
    </xf>
    <xf numFmtId="0" fontId="6" fillId="5" borderId="45" xfId="0" applyFont="1" applyFill="1" applyBorder="1" applyAlignment="1">
      <alignment horizontal="center"/>
    </xf>
    <xf numFmtId="167" fontId="7" fillId="3" borderId="37" xfId="0" applyNumberFormat="1" applyFont="1" applyFill="1" applyBorder="1" applyAlignment="1">
      <alignment horizontal="right"/>
    </xf>
    <xf numFmtId="167" fontId="7" fillId="3" borderId="36" xfId="0" applyNumberFormat="1" applyFont="1" applyFill="1" applyBorder="1" applyAlignment="1">
      <alignment horizontal="right"/>
    </xf>
    <xf numFmtId="167" fontId="7" fillId="3" borderId="39" xfId="0" applyNumberFormat="1" applyFont="1" applyFill="1" applyBorder="1" applyAlignment="1">
      <alignment horizontal="right"/>
    </xf>
    <xf numFmtId="0" fontId="0" fillId="3" borderId="6" xfId="0" applyFill="1" applyBorder="1"/>
    <xf numFmtId="0" fontId="0" fillId="3" borderId="7" xfId="0" applyFill="1" applyBorder="1"/>
    <xf numFmtId="0" fontId="2" fillId="2" borderId="0" xfId="0" applyFont="1" applyFill="1"/>
    <xf numFmtId="167" fontId="0" fillId="2" borderId="0" xfId="0" applyNumberFormat="1" applyFill="1"/>
    <xf numFmtId="164" fontId="0" fillId="2" borderId="0" xfId="0" applyNumberFormat="1" applyFill="1"/>
    <xf numFmtId="164" fontId="0" fillId="2" borderId="0" xfId="1" applyFont="1" applyFill="1"/>
    <xf numFmtId="0" fontId="2" fillId="5" borderId="4" xfId="0" applyFont="1" applyFill="1" applyBorder="1" applyAlignment="1">
      <alignment horizontal="left" vertical="center"/>
    </xf>
    <xf numFmtId="0" fontId="2" fillId="5" borderId="23" xfId="0" applyFont="1" applyFill="1" applyBorder="1" applyAlignment="1">
      <alignment horizontal="left" vertical="center"/>
    </xf>
    <xf numFmtId="14" fontId="5" fillId="0" borderId="20" xfId="0" applyNumberFormat="1" applyFont="1" applyBorder="1" applyAlignment="1">
      <alignment horizontal="right" wrapText="1"/>
    </xf>
    <xf numFmtId="14" fontId="5" fillId="0" borderId="21" xfId="0" applyNumberFormat="1" applyFont="1" applyBorder="1" applyAlignment="1">
      <alignment horizontal="right" wrapText="1"/>
    </xf>
    <xf numFmtId="166" fontId="5" fillId="3" borderId="20" xfId="0" applyNumberFormat="1" applyFont="1" applyFill="1" applyBorder="1" applyAlignment="1">
      <alignment horizontal="right" wrapText="1"/>
    </xf>
    <xf numFmtId="166" fontId="5" fillId="3" borderId="21" xfId="0" applyNumberFormat="1" applyFont="1" applyFill="1" applyBorder="1" applyAlignment="1">
      <alignment horizontal="right" wrapText="1"/>
    </xf>
    <xf numFmtId="14" fontId="5" fillId="3" borderId="25" xfId="0" applyNumberFormat="1" applyFont="1" applyFill="1" applyBorder="1" applyAlignment="1">
      <alignment horizontal="right" wrapText="1"/>
    </xf>
    <xf numFmtId="14" fontId="5" fillId="3" borderId="28" xfId="0" applyNumberFormat="1" applyFont="1" applyFill="1" applyBorder="1" applyAlignment="1">
      <alignment horizontal="right" wrapText="1"/>
    </xf>
    <xf numFmtId="14" fontId="5" fillId="3" borderId="34" xfId="0" applyNumberFormat="1" applyFont="1" applyFill="1" applyBorder="1" applyAlignment="1">
      <alignment horizontal="right" wrapText="1"/>
    </xf>
    <xf numFmtId="0" fontId="0" fillId="3" borderId="20" xfId="0" applyFill="1" applyBorder="1" applyAlignment="1">
      <alignment horizontal="right"/>
    </xf>
    <xf numFmtId="0" fontId="0" fillId="3" borderId="21" xfId="0" applyFill="1" applyBorder="1" applyAlignment="1">
      <alignment horizontal="right"/>
    </xf>
    <xf numFmtId="0" fontId="2" fillId="5" borderId="36" xfId="0" applyFont="1" applyFill="1" applyBorder="1"/>
    <xf numFmtId="0" fontId="0" fillId="5" borderId="23" xfId="0" applyFill="1" applyBorder="1" applyAlignment="1">
      <alignment horizontal="center"/>
    </xf>
    <xf numFmtId="0" fontId="0" fillId="5" borderId="24" xfId="0" applyFill="1" applyBorder="1" applyAlignment="1">
      <alignment horizontal="center"/>
    </xf>
    <xf numFmtId="165" fontId="7" fillId="0" borderId="23" xfId="1" applyNumberFormat="1" applyFont="1" applyFill="1" applyBorder="1" applyAlignment="1">
      <alignment horizontal="right"/>
    </xf>
    <xf numFmtId="165" fontId="7" fillId="0" borderId="41" xfId="1" applyNumberFormat="1" applyFont="1" applyFill="1" applyBorder="1" applyAlignment="1">
      <alignment horizontal="right"/>
    </xf>
    <xf numFmtId="0" fontId="0" fillId="5" borderId="0" xfId="0" applyFill="1" applyAlignment="1">
      <alignment horizontal="center"/>
    </xf>
    <xf numFmtId="0" fontId="0" fillId="5" borderId="4" xfId="0" applyFill="1" applyBorder="1" applyAlignment="1">
      <alignment horizontal="left"/>
    </xf>
    <xf numFmtId="165" fontId="7" fillId="3" borderId="42" xfId="1" applyNumberFormat="1" applyFont="1" applyFill="1" applyBorder="1" applyAlignment="1">
      <alignment horizontal="right"/>
    </xf>
    <xf numFmtId="165" fontId="7" fillId="3" borderId="0" xfId="1" applyNumberFormat="1" applyFont="1" applyFill="1" applyBorder="1" applyAlignment="1">
      <alignment horizontal="right"/>
    </xf>
    <xf numFmtId="165" fontId="12" fillId="3" borderId="5" xfId="1" applyNumberFormat="1" applyFont="1" applyFill="1" applyBorder="1" applyAlignment="1">
      <alignment horizontal="center"/>
    </xf>
    <xf numFmtId="165" fontId="7" fillId="3" borderId="31" xfId="1" applyNumberFormat="1" applyFont="1" applyFill="1" applyBorder="1" applyAlignment="1">
      <alignment horizontal="right"/>
    </xf>
    <xf numFmtId="165" fontId="7" fillId="3" borderId="18" xfId="1" applyNumberFormat="1" applyFont="1" applyFill="1" applyBorder="1" applyAlignment="1">
      <alignment horizontal="right"/>
    </xf>
    <xf numFmtId="165" fontId="12" fillId="3" borderId="43" xfId="1" applyNumberFormat="1" applyFont="1" applyFill="1" applyBorder="1" applyAlignment="1">
      <alignment horizontal="center"/>
    </xf>
    <xf numFmtId="0" fontId="0" fillId="5" borderId="26" xfId="0" applyFill="1" applyBorder="1" applyAlignment="1">
      <alignment horizontal="center"/>
    </xf>
    <xf numFmtId="165" fontId="0" fillId="3" borderId="5" xfId="1" applyNumberFormat="1" applyFont="1" applyFill="1" applyBorder="1" applyAlignment="1">
      <alignment horizontal="center"/>
    </xf>
    <xf numFmtId="0" fontId="0" fillId="5" borderId="18" xfId="0" applyFill="1" applyBorder="1" applyAlignment="1">
      <alignment horizontal="center"/>
    </xf>
    <xf numFmtId="0" fontId="0" fillId="5" borderId="19" xfId="0" applyFill="1" applyBorder="1" applyAlignment="1">
      <alignment horizontal="center"/>
    </xf>
    <xf numFmtId="9" fontId="0" fillId="2" borderId="0" xfId="2" applyFont="1" applyFill="1"/>
    <xf numFmtId="0" fontId="0" fillId="5" borderId="28" xfId="0" applyFill="1" applyBorder="1" applyAlignment="1">
      <alignment horizontal="center"/>
    </xf>
    <xf numFmtId="0" fontId="0" fillId="5" borderId="30" xfId="0" applyFill="1" applyBorder="1" applyAlignment="1">
      <alignment horizontal="center"/>
    </xf>
    <xf numFmtId="165" fontId="7" fillId="3" borderId="42" xfId="1" applyNumberFormat="1" applyFont="1" applyFill="1" applyBorder="1" applyAlignment="1">
      <alignment horizontal="center"/>
    </xf>
    <xf numFmtId="165" fontId="7" fillId="3" borderId="0" xfId="1" applyNumberFormat="1" applyFont="1" applyFill="1" applyBorder="1" applyAlignment="1">
      <alignment horizontal="center"/>
    </xf>
    <xf numFmtId="165" fontId="7" fillId="3" borderId="5" xfId="1" applyNumberFormat="1" applyFont="1" applyFill="1" applyBorder="1" applyAlignment="1">
      <alignment horizontal="right"/>
    </xf>
    <xf numFmtId="0" fontId="0" fillId="5" borderId="17" xfId="0" applyFill="1" applyBorder="1" applyAlignment="1">
      <alignment horizontal="left"/>
    </xf>
    <xf numFmtId="165" fontId="7" fillId="3" borderId="43" xfId="1" applyNumberFormat="1" applyFont="1" applyFill="1" applyBorder="1" applyAlignment="1">
      <alignment horizontal="right"/>
    </xf>
    <xf numFmtId="0" fontId="2" fillId="7" borderId="17" xfId="0" applyFont="1" applyFill="1" applyBorder="1" applyAlignment="1">
      <alignment horizontal="center"/>
    </xf>
    <xf numFmtId="0" fontId="2" fillId="7" borderId="18" xfId="0" applyFont="1" applyFill="1" applyBorder="1" applyAlignment="1">
      <alignment horizontal="center"/>
    </xf>
    <xf numFmtId="0" fontId="2" fillId="7" borderId="43" xfId="0" applyFont="1" applyFill="1" applyBorder="1" applyAlignment="1">
      <alignment horizontal="center"/>
    </xf>
    <xf numFmtId="0" fontId="2" fillId="5" borderId="36" xfId="0" applyFont="1" applyFill="1" applyBorder="1" applyAlignment="1">
      <alignment horizontal="center"/>
    </xf>
    <xf numFmtId="0" fontId="2" fillId="5" borderId="38" xfId="0" applyFont="1" applyFill="1" applyBorder="1" applyAlignment="1">
      <alignment horizontal="center"/>
    </xf>
    <xf numFmtId="165" fontId="7" fillId="3" borderId="36" xfId="1" applyNumberFormat="1" applyFont="1" applyFill="1" applyBorder="1" applyAlignment="1">
      <alignment horizontal="right"/>
    </xf>
    <xf numFmtId="165" fontId="7" fillId="3" borderId="39" xfId="1" applyNumberFormat="1" applyFont="1" applyFill="1" applyBorder="1" applyAlignment="1">
      <alignment horizontal="right"/>
    </xf>
    <xf numFmtId="0" fontId="0" fillId="3" borderId="0" xfId="0" applyFill="1" applyAlignment="1">
      <alignment horizontal="center"/>
    </xf>
    <xf numFmtId="0" fontId="6" fillId="5" borderId="29" xfId="0" applyFont="1" applyFill="1" applyBorder="1" applyAlignment="1">
      <alignment horizontal="left"/>
    </xf>
    <xf numFmtId="0" fontId="2" fillId="5" borderId="28" xfId="0" applyFont="1" applyFill="1" applyBorder="1" applyAlignment="1">
      <alignment horizontal="center"/>
    </xf>
    <xf numFmtId="0" fontId="2" fillId="5" borderId="23" xfId="0" applyFont="1" applyFill="1" applyBorder="1" applyAlignment="1">
      <alignment horizontal="center"/>
    </xf>
    <xf numFmtId="165" fontId="7" fillId="3" borderId="24" xfId="1" applyNumberFormat="1" applyFont="1" applyFill="1" applyBorder="1" applyAlignment="1">
      <alignment horizontal="right"/>
    </xf>
    <xf numFmtId="0" fontId="2" fillId="5" borderId="0" xfId="0" applyFont="1" applyFill="1" applyAlignment="1">
      <alignment horizontal="center"/>
    </xf>
    <xf numFmtId="165" fontId="12" fillId="3" borderId="26" xfId="1" applyNumberFormat="1" applyFont="1" applyFill="1" applyBorder="1" applyAlignment="1">
      <alignment horizontal="center"/>
    </xf>
    <xf numFmtId="0" fontId="14" fillId="5" borderId="4" xfId="0" applyFont="1" applyFill="1" applyBorder="1" applyAlignment="1">
      <alignment horizontal="left" indent="1"/>
    </xf>
    <xf numFmtId="0" fontId="14" fillId="5" borderId="17" xfId="0" applyFont="1" applyFill="1" applyBorder="1" applyAlignment="1">
      <alignment horizontal="left" indent="1"/>
    </xf>
    <xf numFmtId="0" fontId="2" fillId="5" borderId="18" xfId="0" applyFont="1" applyFill="1" applyBorder="1" applyAlignment="1">
      <alignment horizontal="center"/>
    </xf>
    <xf numFmtId="165" fontId="12" fillId="3" borderId="19" xfId="1" applyNumberFormat="1" applyFont="1" applyFill="1" applyBorder="1" applyAlignment="1">
      <alignment horizontal="center"/>
    </xf>
    <xf numFmtId="0" fontId="15" fillId="5" borderId="22" xfId="0" applyFont="1" applyFill="1" applyBorder="1" applyAlignment="1">
      <alignment horizontal="left"/>
    </xf>
    <xf numFmtId="0" fontId="2" fillId="5" borderId="7" xfId="0" applyFont="1" applyFill="1" applyBorder="1" applyAlignment="1">
      <alignment horizontal="center"/>
    </xf>
    <xf numFmtId="165" fontId="7" fillId="3" borderId="44" xfId="1" applyNumberFormat="1" applyFont="1" applyFill="1" applyBorder="1" applyAlignment="1">
      <alignment horizontal="right"/>
    </xf>
    <xf numFmtId="165" fontId="7" fillId="3" borderId="7" xfId="1" applyNumberFormat="1" applyFont="1" applyFill="1" applyBorder="1" applyAlignment="1">
      <alignment horizontal="right"/>
    </xf>
    <xf numFmtId="165" fontId="7" fillId="3" borderId="45" xfId="1" applyNumberFormat="1" applyFont="1" applyFill="1" applyBorder="1" applyAlignment="1">
      <alignment horizontal="right"/>
    </xf>
    <xf numFmtId="165" fontId="7" fillId="3" borderId="8" xfId="1" applyNumberFormat="1" applyFont="1" applyFill="1" applyBorder="1" applyAlignment="1">
      <alignment horizontal="right"/>
    </xf>
    <xf numFmtId="0" fontId="0" fillId="5" borderId="29" xfId="0" applyFill="1" applyBorder="1" applyAlignment="1">
      <alignment horizontal="center"/>
    </xf>
    <xf numFmtId="9" fontId="12" fillId="3" borderId="25" xfId="0" applyNumberFormat="1" applyFont="1" applyFill="1" applyBorder="1" applyAlignment="1">
      <alignment horizontal="center"/>
    </xf>
    <xf numFmtId="0" fontId="12" fillId="3" borderId="28" xfId="0" applyFont="1" applyFill="1" applyBorder="1" applyAlignment="1">
      <alignment horizontal="center"/>
    </xf>
    <xf numFmtId="0" fontId="12" fillId="3" borderId="30" xfId="0" applyFont="1" applyFill="1" applyBorder="1" applyAlignment="1">
      <alignment horizontal="center"/>
    </xf>
    <xf numFmtId="10" fontId="7" fillId="3" borderId="25" xfId="2" applyNumberFormat="1" applyFont="1" applyFill="1" applyBorder="1" applyAlignment="1">
      <alignment horizontal="center"/>
    </xf>
    <xf numFmtId="10" fontId="7" fillId="3" borderId="28" xfId="2" applyNumberFormat="1" applyFont="1" applyFill="1" applyBorder="1" applyAlignment="1">
      <alignment horizontal="center"/>
    </xf>
    <xf numFmtId="10" fontId="7" fillId="3" borderId="30" xfId="2" applyNumberFormat="1" applyFont="1" applyFill="1" applyBorder="1" applyAlignment="1">
      <alignment horizontal="center"/>
    </xf>
    <xf numFmtId="10" fontId="7" fillId="3" borderId="25" xfId="0" applyNumberFormat="1" applyFont="1" applyFill="1" applyBorder="1" applyAlignment="1">
      <alignment horizontal="center"/>
    </xf>
    <xf numFmtId="0" fontId="7" fillId="3" borderId="28" xfId="0" applyFont="1" applyFill="1" applyBorder="1" applyAlignment="1">
      <alignment horizontal="center"/>
    </xf>
    <xf numFmtId="0" fontId="7" fillId="3" borderId="34" xfId="0" applyFont="1" applyFill="1" applyBorder="1" applyAlignment="1">
      <alignment horizontal="center"/>
    </xf>
    <xf numFmtId="0" fontId="12" fillId="3" borderId="25" xfId="0" applyFont="1" applyFill="1" applyBorder="1" applyAlignment="1">
      <alignment horizontal="center"/>
    </xf>
    <xf numFmtId="10" fontId="7" fillId="3" borderId="28" xfId="0" applyNumberFormat="1" applyFont="1" applyFill="1" applyBorder="1" applyAlignment="1">
      <alignment horizontal="center"/>
    </xf>
    <xf numFmtId="10" fontId="7" fillId="3" borderId="34" xfId="0" applyNumberFormat="1" applyFont="1" applyFill="1" applyBorder="1" applyAlignment="1">
      <alignment horizontal="center"/>
    </xf>
    <xf numFmtId="2" fontId="7" fillId="3" borderId="25" xfId="0" applyNumberFormat="1" applyFont="1" applyFill="1" applyBorder="1" applyAlignment="1">
      <alignment horizontal="center"/>
    </xf>
    <xf numFmtId="2" fontId="7" fillId="3" borderId="28" xfId="0" applyNumberFormat="1" applyFont="1" applyFill="1" applyBorder="1" applyAlignment="1">
      <alignment horizontal="center"/>
    </xf>
    <xf numFmtId="2" fontId="7" fillId="3" borderId="34" xfId="0" applyNumberFormat="1" applyFont="1" applyFill="1" applyBorder="1" applyAlignment="1">
      <alignment horizontal="center"/>
    </xf>
    <xf numFmtId="0" fontId="7" fillId="3" borderId="27" xfId="0" applyFont="1" applyFill="1" applyBorder="1" applyAlignment="1">
      <alignment horizontal="center"/>
    </xf>
    <xf numFmtId="0" fontId="7" fillId="3" borderId="23" xfId="0" applyFont="1" applyFill="1" applyBorder="1" applyAlignment="1">
      <alignment horizontal="center"/>
    </xf>
    <xf numFmtId="0" fontId="7" fillId="3" borderId="24" xfId="0" applyFont="1" applyFill="1" applyBorder="1" applyAlignment="1">
      <alignment horizontal="center"/>
    </xf>
    <xf numFmtId="10" fontId="7" fillId="3" borderId="27" xfId="2" applyNumberFormat="1" applyFont="1" applyFill="1" applyBorder="1" applyAlignment="1">
      <alignment horizontal="center"/>
    </xf>
    <xf numFmtId="10" fontId="7" fillId="3" borderId="23" xfId="2" applyNumberFormat="1" applyFont="1" applyFill="1" applyBorder="1" applyAlignment="1">
      <alignment horizontal="center"/>
    </xf>
    <xf numFmtId="10" fontId="7" fillId="3" borderId="24" xfId="2" applyNumberFormat="1" applyFont="1" applyFill="1" applyBorder="1" applyAlignment="1">
      <alignment horizontal="center"/>
    </xf>
    <xf numFmtId="0" fontId="2" fillId="5" borderId="30" xfId="0" applyFont="1" applyFill="1" applyBorder="1" applyAlignment="1">
      <alignment horizontal="center"/>
    </xf>
    <xf numFmtId="9" fontId="7" fillId="3" borderId="25" xfId="2" applyFont="1" applyFill="1" applyBorder="1" applyAlignment="1">
      <alignment horizontal="center"/>
    </xf>
    <xf numFmtId="9" fontId="7" fillId="3" borderId="28" xfId="2" applyFont="1" applyFill="1" applyBorder="1" applyAlignment="1">
      <alignment horizontal="center"/>
    </xf>
    <xf numFmtId="9" fontId="7" fillId="3" borderId="30" xfId="2" applyFont="1" applyFill="1" applyBorder="1" applyAlignment="1">
      <alignment horizontal="center"/>
    </xf>
    <xf numFmtId="10" fontId="7" fillId="3" borderId="34" xfId="2" applyNumberFormat="1" applyFont="1" applyFill="1" applyBorder="1" applyAlignment="1">
      <alignment horizontal="center"/>
    </xf>
    <xf numFmtId="9" fontId="7" fillId="3" borderId="37" xfId="2" applyFont="1" applyFill="1" applyBorder="1" applyAlignment="1">
      <alignment horizontal="center"/>
    </xf>
    <xf numFmtId="9" fontId="7" fillId="3" borderId="36" xfId="2" applyFont="1" applyFill="1" applyBorder="1" applyAlignment="1">
      <alignment horizontal="center"/>
    </xf>
    <xf numFmtId="9" fontId="7" fillId="3" borderId="38" xfId="2" applyFont="1" applyFill="1" applyBorder="1" applyAlignment="1">
      <alignment horizontal="center"/>
    </xf>
    <xf numFmtId="10" fontId="7" fillId="3" borderId="37" xfId="2" applyNumberFormat="1" applyFont="1" applyFill="1" applyBorder="1" applyAlignment="1">
      <alignment horizontal="center"/>
    </xf>
    <xf numFmtId="10" fontId="7" fillId="3" borderId="36" xfId="2" applyNumberFormat="1" applyFont="1" applyFill="1" applyBorder="1" applyAlignment="1">
      <alignment horizontal="center"/>
    </xf>
    <xf numFmtId="10" fontId="7" fillId="3" borderId="38" xfId="2" applyNumberFormat="1" applyFont="1" applyFill="1" applyBorder="1" applyAlignment="1">
      <alignment horizontal="center"/>
    </xf>
    <xf numFmtId="10" fontId="7" fillId="3" borderId="39" xfId="2" applyNumberFormat="1" applyFont="1" applyFill="1" applyBorder="1" applyAlignment="1">
      <alignment horizontal="center"/>
    </xf>
    <xf numFmtId="0" fontId="2" fillId="5" borderId="25" xfId="0" applyFont="1" applyFill="1" applyBorder="1" applyAlignment="1">
      <alignment horizontal="left"/>
    </xf>
    <xf numFmtId="0" fontId="0" fillId="5" borderId="42" xfId="0" applyFill="1" applyBorder="1" applyAlignment="1">
      <alignment horizontal="left"/>
    </xf>
    <xf numFmtId="165" fontId="0" fillId="3" borderId="42" xfId="1" applyNumberFormat="1" applyFont="1" applyFill="1" applyBorder="1" applyAlignment="1">
      <alignment horizontal="center"/>
    </xf>
    <xf numFmtId="165" fontId="0" fillId="3" borderId="26" xfId="1" applyNumberFormat="1" applyFont="1" applyFill="1" applyBorder="1" applyAlignment="1">
      <alignment horizontal="center"/>
    </xf>
    <xf numFmtId="9" fontId="0" fillId="3" borderId="42" xfId="2" applyFont="1" applyFill="1" applyBorder="1" applyAlignment="1">
      <alignment horizontal="center"/>
    </xf>
    <xf numFmtId="9" fontId="0" fillId="3" borderId="26" xfId="2" applyFont="1" applyFill="1" applyBorder="1" applyAlignment="1">
      <alignment horizontal="center"/>
    </xf>
    <xf numFmtId="165" fontId="0" fillId="3" borderId="31" xfId="1" applyNumberFormat="1" applyFont="1" applyFill="1" applyBorder="1" applyAlignment="1">
      <alignment horizontal="center"/>
    </xf>
    <xf numFmtId="165" fontId="0" fillId="3" borderId="19" xfId="1" applyNumberFormat="1" applyFont="1" applyFill="1" applyBorder="1" applyAlignment="1">
      <alignment horizontal="center"/>
    </xf>
    <xf numFmtId="165" fontId="2" fillId="3" borderId="31" xfId="0" applyNumberFormat="1" applyFont="1" applyFill="1" applyBorder="1" applyAlignment="1">
      <alignment horizontal="center"/>
    </xf>
    <xf numFmtId="0" fontId="2" fillId="3" borderId="19" xfId="0" applyFont="1" applyFill="1" applyBorder="1" applyAlignment="1">
      <alignment horizontal="center"/>
    </xf>
    <xf numFmtId="9" fontId="2" fillId="3" borderId="25" xfId="2" applyFont="1" applyFill="1" applyBorder="1" applyAlignment="1">
      <alignment horizontal="center"/>
    </xf>
    <xf numFmtId="9" fontId="2" fillId="3" borderId="30" xfId="2" applyFont="1" applyFill="1" applyBorder="1" applyAlignment="1">
      <alignment horizontal="center"/>
    </xf>
    <xf numFmtId="165" fontId="2" fillId="3" borderId="25" xfId="0" applyNumberFormat="1" applyFont="1" applyFill="1" applyBorder="1" applyAlignment="1">
      <alignment horizontal="center"/>
    </xf>
    <xf numFmtId="0" fontId="2" fillId="3" borderId="30" xfId="0" applyFont="1" applyFill="1" applyBorder="1" applyAlignment="1">
      <alignment horizontal="center"/>
    </xf>
    <xf numFmtId="9" fontId="2" fillId="3" borderId="25" xfId="0" applyNumberFormat="1" applyFont="1" applyFill="1" applyBorder="1" applyAlignment="1">
      <alignment horizontal="center"/>
    </xf>
    <xf numFmtId="9" fontId="0" fillId="3" borderId="27" xfId="2" applyFont="1" applyFill="1" applyBorder="1" applyAlignment="1">
      <alignment horizontal="center"/>
    </xf>
    <xf numFmtId="9" fontId="0" fillId="3" borderId="24" xfId="2" applyFont="1" applyFill="1" applyBorder="1" applyAlignment="1">
      <alignment horizontal="center"/>
    </xf>
    <xf numFmtId="9" fontId="0" fillId="3" borderId="31" xfId="2" applyFont="1" applyFill="1" applyBorder="1" applyAlignment="1">
      <alignment horizontal="center"/>
    </xf>
    <xf numFmtId="9" fontId="0" fillId="3" borderId="19" xfId="2" applyFont="1" applyFill="1" applyBorder="1" applyAlignment="1">
      <alignment horizontal="center"/>
    </xf>
    <xf numFmtId="9" fontId="2" fillId="3" borderId="30" xfId="0" applyNumberFormat="1" applyFont="1" applyFill="1" applyBorder="1" applyAlignment="1">
      <alignment horizontal="center"/>
    </xf>
    <xf numFmtId="165" fontId="2" fillId="3" borderId="25" xfId="1" applyNumberFormat="1" applyFont="1" applyFill="1" applyBorder="1" applyAlignment="1">
      <alignment horizontal="center"/>
    </xf>
    <xf numFmtId="165" fontId="2" fillId="3" borderId="30" xfId="1" applyNumberFormat="1" applyFont="1" applyFill="1" applyBorder="1" applyAlignment="1">
      <alignment horizontal="center"/>
    </xf>
    <xf numFmtId="0" fontId="2" fillId="5" borderId="23" xfId="0" applyFont="1" applyFill="1" applyBorder="1" applyAlignment="1">
      <alignment horizontal="center"/>
    </xf>
    <xf numFmtId="0" fontId="2" fillId="5" borderId="24" xfId="0" applyFont="1" applyFill="1" applyBorder="1" applyAlignment="1">
      <alignment horizontal="center"/>
    </xf>
    <xf numFmtId="9" fontId="0" fillId="3" borderId="0" xfId="2" applyFont="1" applyFill="1" applyBorder="1" applyAlignment="1">
      <alignment horizontal="center"/>
    </xf>
    <xf numFmtId="165" fontId="0" fillId="3" borderId="0" xfId="1" applyNumberFormat="1" applyFont="1" applyFill="1" applyBorder="1" applyAlignment="1">
      <alignment horizontal="center"/>
    </xf>
    <xf numFmtId="0" fontId="0" fillId="3" borderId="27" xfId="2" applyNumberFormat="1" applyFont="1" applyFill="1" applyBorder="1" applyAlignment="1">
      <alignment horizontal="center"/>
    </xf>
    <xf numFmtId="165" fontId="2" fillId="3" borderId="31" xfId="1" applyNumberFormat="1" applyFont="1" applyFill="1" applyBorder="1" applyAlignment="1">
      <alignment horizontal="center"/>
    </xf>
    <xf numFmtId="165" fontId="2" fillId="3" borderId="19" xfId="1" applyNumberFormat="1" applyFont="1" applyFill="1" applyBorder="1" applyAlignment="1">
      <alignment horizontal="center"/>
    </xf>
    <xf numFmtId="165" fontId="0" fillId="3" borderId="27" xfId="1" applyNumberFormat="1" applyFont="1" applyFill="1" applyBorder="1" applyAlignment="1">
      <alignment horizontal="center"/>
    </xf>
    <xf numFmtId="165" fontId="0" fillId="3" borderId="24" xfId="1" applyNumberFormat="1" applyFont="1" applyFill="1" applyBorder="1" applyAlignment="1">
      <alignment horizontal="center"/>
    </xf>
    <xf numFmtId="165" fontId="0" fillId="3" borderId="42" xfId="1" applyNumberFormat="1" applyFont="1" applyFill="1" applyBorder="1" applyAlignment="1">
      <alignment horizontal="right"/>
    </xf>
    <xf numFmtId="165" fontId="0" fillId="3" borderId="0" xfId="1" applyNumberFormat="1" applyFont="1" applyFill="1" applyBorder="1" applyAlignment="1">
      <alignment horizontal="right"/>
    </xf>
    <xf numFmtId="9" fontId="0" fillId="3" borderId="18" xfId="2" applyFont="1" applyFill="1" applyBorder="1" applyAlignment="1">
      <alignment horizontal="center"/>
    </xf>
    <xf numFmtId="165" fontId="2" fillId="3" borderId="25" xfId="1" applyNumberFormat="1" applyFont="1" applyFill="1" applyBorder="1" applyAlignment="1">
      <alignment horizontal="right"/>
    </xf>
    <xf numFmtId="165" fontId="2" fillId="3" borderId="30" xfId="1" applyNumberFormat="1" applyFont="1" applyFill="1" applyBorder="1" applyAlignment="1">
      <alignment horizontal="right"/>
    </xf>
    <xf numFmtId="9" fontId="2" fillId="3" borderId="31" xfId="2" applyFont="1" applyFill="1" applyBorder="1" applyAlignment="1">
      <alignment horizontal="center"/>
    </xf>
    <xf numFmtId="9" fontId="2" fillId="3" borderId="19" xfId="2" applyFont="1" applyFill="1" applyBorder="1" applyAlignment="1">
      <alignment horizontal="center"/>
    </xf>
    <xf numFmtId="2" fontId="7" fillId="3" borderId="30" xfId="0" applyNumberFormat="1" applyFont="1" applyFill="1" applyBorder="1" applyAlignment="1">
      <alignment horizontal="center"/>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Workings/Urban%20Ubomi%201%20-%20Investor%20Report%20January%202022%20Lin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min Report"/>
      <sheetName val="Servicer Report"/>
      <sheetName val="Nov 2021"/>
      <sheetName val="Dec 2021"/>
      <sheetName val="Jan 2022"/>
      <sheetName val="Collections Data"/>
      <sheetName val="Expenses"/>
      <sheetName val="Swap calc"/>
    </sheetNames>
    <sheetDataSet>
      <sheetData sheetId="0"/>
      <sheetData sheetId="1"/>
      <sheetData sheetId="2"/>
      <sheetData sheetId="3"/>
      <sheetData sheetId="4"/>
      <sheetData sheetId="5"/>
      <sheetData sheetId="6"/>
      <sheetData sheetId="7"/>
    </sheetDataSet>
  </externalBook>
</externalLink>
</file>

<file path=xl/persons/person.xml><?xml version="1.0" encoding="utf-8"?>
<personList xmlns="http://schemas.microsoft.com/office/spreadsheetml/2018/threadedcomments" xmlns:x="http://schemas.openxmlformats.org/spreadsheetml/2006/main">
  <person displayName="Gunning, Nicholas NCM" id="{16F9F7B4-7BB1-41DB-B223-E57123AE1723}" userId="S::Nicholas.Gunning@standardbank.co.za::f2009c57-e3a6-4270-8684-6331fd819ed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8" dT="2020-07-10T12:15:10.58" personId="{16F9F7B4-7BB1-41DB-B223-E57123AE1723}" id="{12D51F79-B24D-4242-A989-B691A34E2788}">
    <text>1.141.13	Administrator Report Date means the fifteenth twelfth day after each Determination Date, or if any such day is not a Business Day, then the immediately succeeding day that is a Business Day;</text>
  </threadedComment>
  <threadedComment ref="C9" dT="2020-07-10T12:16:41.19" personId="{16F9F7B4-7BB1-41DB-B223-E57123AE1723}" id="{3B720F1A-5210-4890-B7B5-E18B8BE42875}">
    <text>1.1021.100	Determination Date means the last Business Day of [December, March, June and September], save for the first Determination Date which will be the date specified in the APS;</text>
  </threadedComment>
  <threadedComment ref="C12" dT="2020-07-10T12:17:28.82" personId="{16F9F7B4-7BB1-41DB-B223-E57123AE1723}" id="{F1E6635E-3BC5-43D9-9FA7-E70366A28B76}">
    <text>1.751.73	Collection Period means each period beginning on (and excluding) a Determination Date and ending on (and including) the immediately following Determination Date, provided that the first Collection Period shall begin on (and include) the Initial Issue Date;</text>
  </threadedComment>
  <threadedComment ref="C67" dT="2020-07-10T12:19:25.59" personId="{16F9F7B4-7BB1-41DB-B223-E57123AE1723}" id="{F316407C-4D0A-426B-AE11-4268FECB1545}">
    <text>1.2591.251	Repayments means repayments of principal received under a Loan Agreement, being scheduled instalments received, less interest owing during the immediately preceding interest period in terms of the Loan Agreement;</text>
  </threadedComment>
  <threadedComment ref="C68" dT="2020-07-10T12:20:03.96" personId="{16F9F7B4-7BB1-41DB-B223-E57123AE1723}" id="{D6F07452-974F-410E-A426-BC9AB92B7B59}">
    <text>1.2201.211	Prepayments means principal repayments received under a Loan Agreement in excess of the minimum Instalments which a Borrower is obliged to pay;</text>
  </threadedComment>
  <threadedComment ref="C72" dT="2020-07-10T12:32:40.90" personId="{16F9F7B4-7BB1-41DB-B223-E57123AE1723}" id="{A8C0BFAD-4B4C-4AD5-9C5D-1519D6328228}">
    <text>1.1411.137	Insurance Proceeds means the proceeds of any claim under any of the Insurance Policies;
1.1401.136	Insurance Policies means any insurance policies, taken out or to be taken out in relation to the Properties by or on behalf of the Borrower, including public liability, business interruption, loss of income, SASRIA and building insurance;</text>
  </threadedComment>
  <threadedComment ref="C81" dT="2020-07-10T12:14:24.90" personId="{16F9F7B4-7BB1-41DB-B223-E57123AE1723}" id="{56A48758-177B-4B66-8456-D63F33516BFA}">
    <text>1.1121.110	Excluded Items means:
1.112.11.110.1	monies which properly belong to third parties (including monies owing to any party in respect of reimbursement for direct debit recalls and insurance premiums owing to insurers);
1.112.21.110.2	amounts payable to the Seller under the Sale Agreement in respect of reconciliations of the amounts paid in respect of the purchase of Relevant Assets on any day;
1.112.31.110.3	amounts payable to the Seller in terms of the Sale Agreement in respect of the purchase consideration for the acquisition of Relevant Assets from the Seller, to the extent that such purchase consideration is paid using the funds in the Capital Reserve or the net proceeds received by the Issuer from Notes issued for this purpose (including Pre-Funding Amounts during the Pre-Funding Period) and/or net proceeds received by the Issuer under the Subordinated Loan Agreement for this purpose;
1.112.41.110.4	provided that a Stop-Lending Trigger Event has not occurred, amounts corresponding to the aggregate advances which are advanced by the Issuer to Borrowers on any day, in accordance with the provisions of the Sale Agreement, to the extent that such advances are made using the funds in the Capital Reserve or the Available Internal Funds or the Available External Funds;
1.112.51.110.5	the repayment to the Liquidity Facility Provider, upon the Latest Coupon Step-Up Date, of the unutilised portion of the Liquidity Facility drawn-down and invested in Permitted Investments (which draw-down occurs in the event of the Liquidity Facility Provider being downgraded below the Required Credit Rating or the Liquidity Facility not being renewed or replaced on an annual basis); 
1.112.61.110.6	any amounts paid by the Servicer into the Transaction Account in terms of the Servicing Agreement in respect of instalments owing under a Participating Asset but unpaid on any Determination Date for non-credit related reasons, which instalments have subsequently been received by the Issuer;
1.112.71.110.7	amounts payable to Noteholders in respect of the redemption of Refinanced Notes using the net proceeds from the issue of Refinancing Notes pursuant to exercise of the Refinancing Option; and
1.112.8	amounts payable to Noteholders in respect of the redemption of Notes using the net proceeds from the issue of Notes pursuant to the exercise of the Step-Up Call Option;
all of which items rank above all other items in the Priority of Payments, and the payment of which is not restricted to Interest Payment Dates;</text>
  </threadedComment>
  <threadedComment ref="C99" dT="2020-07-03T14:38:14.35" personId="{16F9F7B4-7BB1-41DB-B223-E57123AE1723}" id="{7744C012-F1CA-4084-B0E8-2BE42A9CFEEA}">
    <text>1.2131.204	Potential Redemption Amount means an amount determined on each Determination Date as follows:
1.213.11.204.1	Principal Collections (including the proceeds from the sale of Participating Assets during the immediately preceding Collection Period)(excluding recoveries post write off); plus
1.213.21.204.2	a positive amount equal to principal losses realised upon completion of the enforcement and recovery process in relation to defaulting Participating Assets during the immediately preceding Collection Period; plus
1.213.31.204.3	an amount equal to the Principal Deficiency recorded on the previous Determination Date; less
1.213.41.204.4	Repayments and Prepayments used to advance Redraws, Re-Advances and Further Advances during the immediately preceding Collection Period; plus
1.213.51.204.5	the increase, if any, in the principal amount outstanding under the Liquidity Facility during the immediately preceding Collection Period; plus
1.213.61.204.6	any amounts standing to the credit of the Capital Reserve for two consecutive Interest Payment Dates in excess of ZAR10 000 000;
provided that the Potential Redemption Amount shall never be less than zero;</text>
  </threadedComment>
  <threadedComment ref="C110" dT="2020-07-03T14:39:03.59" personId="{16F9F7B4-7BB1-41DB-B223-E57123AE1723}" id="{2F5A0B23-5DF4-421F-8133-B4799BCCD4AE}">
    <text>1.1	Principal Deficiency means the amount, if any, by which the Potential Redemption Amount exceeds the remaining cash in the Pre-Enforcement Priority of Payments on any Determination Date after the payment of or provision for items 1 to [10] (both inclusive) in the Pre-Enforcement Priority of Payments;</text>
  </threadedComment>
  <threadedComment ref="C114" dT="2020-07-03T14:39:59.73" personId="{16F9F7B4-7BB1-41DB-B223-E57123AE1723}" id="{C4550818-1857-4623-ACBE-D6E9416689DA}">
    <text>1.641.63	Class B Interest Deferral Event means the first occurrence on which there are Class A Notes outstanding and where the Principal Deficiency on the immediately preceding Interest Payment Date after the application of funds in accordance with the Priority of Payments exceeds the then aggregate Outstanding Principal Amount of the Class C Notes on such Interest Payment Date;</text>
  </threadedComment>
  <threadedComment ref="C115" dT="2020-07-03T14:40:20.29" personId="{16F9F7B4-7BB1-41DB-B223-E57123AE1723}" id="{209C8338-1B74-4DF3-ABEB-082CE3A9B5A6}">
    <text>1.681.67	Class C Interest Deferral Event means the first occurrence on which there are Class B Notes outstanding and where there is a Principal Deficiency on the immediately preceding Interest Payment Date after the application of funds in accordance with the Priority of Payments;</text>
  </threadedComment>
  <threadedComment ref="C121" dT="2020-07-06T07:36:37.57" personId="{16F9F7B4-7BB1-41DB-B223-E57123AE1723}" id="{8769613B-8967-4E26-8369-34303CAD12BD}">
    <text>If applicable, shall occur on any Interest Payment Date prior to the Latest Coupon Step-Up Date provided that the aggregate Outstanding Principal Amount on the Class A1 Notes and the Class A2 Notes is greater than the Class A Redemption Amount and that no Event of Default has occurred</text>
  </threadedComment>
  <threadedComment ref="C130" dT="2020-07-06T07:42:12.02" personId="{16F9F7B4-7BB1-41DB-B223-E57123AE1723}" id="{5C1BF657-A869-4D91-82C3-5E2D8E7F9170}">
    <text>1.661.65	Class B Principal Lock-Out shall occur on any Interest Payment Date on which, if prior to the allocation of the Redemption Amount in accordance with the Priority of Payments, there are Class A Notes outstanding, and:
1.66.11.65.1	a Class A Principal Lock-Out is in place;
1.66.21.65.2	where, if after the allocation of the Redemption Amount in accordance with the Priority of Payments as determined on the immediately preceding Determination Date, the sum of the aggregate Outstanding Principal Amount of the Class B Notes and the Class C Notes as a percentage of the sum of the aggregate Outstanding Principal Amount of all the Notes is not at least [twice] that same percentage as at the most recent Issue Date during the Issue Period;
1.66.31.65.3	where the sum of the aggregate Outstanding Principal Amount of all the Notes is less than [10]% of the aggregate Outstanding Principal Amount of all the Notes as at the most recent Issue Date during the Issue Period;
1.66.41.65.4	where a Principal Deficiency exists on the immediately preceding Interest Payment Date;
1.66.51.65.5	where the aggregate Principal Balances of Non-Performing Assets exceeds [3.5]% of the then aggregate Principal Balances of the Participating Assets, in each case as at the immediately preceding Determination Date;
1.66.61.65.6	where the aggregate Outstanding Principal Amount of the Class B Notes and the Class C Notes is less than [2] times the Principal Balance of the largest Participating Asset or group of Participating Asset in the name of a single Borrower as at the immediately preceding Determination Date; or
1.66.71.65.7	where the Arrears Reserve is not funded at the Arrears Reserve Required Amount, as at the immediately preceding Interest Payment Date;</text>
  </threadedComment>
  <threadedComment ref="C132" dT="2020-07-06T07:42:23.74" personId="{16F9F7B4-7BB1-41DB-B223-E57123AE1723}" id="{BF45BDF2-0EE2-4162-823C-4FC5CF65915B}">
    <text>1.701.69	Class C Principal Lock-Out shall occur on any Interest Payment Date on which, if prior to the allocation of the Redemption Amount in accordance with the Priority of Payments, there are Class B Notes outstanding;</text>
  </threadedComment>
  <threadedComment ref="C136" dT="2020-07-01T09:26:37.19" personId="{16F9F7B4-7BB1-41DB-B223-E57123AE1723}" id="{A4664CFB-1C86-4594-A5DC-C3354A33C417}">
    <text>1.1	first, to pay or provide for the Issuer’s liability or potential liability for Tax;</text>
  </threadedComment>
  <threadedComment ref="C137" dT="2020-07-01T09:26:57.34" personId="{16F9F7B4-7BB1-41DB-B223-E57123AE1723}" id="{A16E03D1-7C2F-41A8-AFA1-A0DFE187331A}">
    <text>1.2	second, to pay or provide for pari passu and pro rata:
1.2.1	the remuneration due and payable to the Security SPV (inclusive of VAT, if any) and any fees, costs, charges, liabilities and expenses (inclusive of VAT, if any) incurred by the Security SPV under the provisions of the Security Agreements and/or any of the Transaction Documents and/or the Notes; and
1.2.2	the remuneration due and payable to the Owner Trustee (inclusive of VAT, if any) and any fees, costs, charges, liabilities and expenses (inclusive of VAT, if any) incurred by such trustee under the provisions of the Owner Trust Deed, the Security Agreements and/or any of the Transaction Documents and/or the Notes;</text>
  </threadedComment>
  <threadedComment ref="C140" dT="2020-07-01T09:27:14.39" personId="{16F9F7B4-7BB1-41DB-B223-E57123AE1723}" id="{D7F02526-972A-413B-8C65-FC0ADE05DD05}">
    <text>1.3	third, to pay or provide for pari passu and pro rata all fees, costs, charges, liabilities and expenses (inclusive of VAT, if any) incurred by the Issuer, which are due and payable or expected to become due and payable by the Issuer on or after such Interest Payment Date (prior to the next Interest Payment Date) to:
1.3.1	the Account Bank in accordance with the Bank Agreement; and
1.3.2	third parties, 
and incurred without breach by the Issuer of its obligations under the Transaction Documents and not provided for payment elsewhere (including payment of the Rating Agency (in the event of Rated Notes), the JSE, audit fees, any fees, premiums or commissions due upon the execution of any Derivative Contract and company secretarial expenses);</text>
  </threadedComment>
  <threadedComment ref="C143" dT="2020-07-01T09:27:31.91" personId="{16F9F7B4-7BB1-41DB-B223-E57123AE1723}" id="{65DA55CF-5666-47FF-8D42-2E49454009BB}">
    <text>1.4	fourth, to pay or provide for pari passu and pro rata:
1.4.1	the Servicing Fee due and payable to the Servicer on such Interest Payment Date (inclusive of VAT, if any) together with costs and expenses which are due and payable or expected to become due and payable to the Servicer under the Servicing Agreement prior to the next Interest Payment Date;
1.4.2	the Back-Up Servicing Fee due and payable to the Back-Up Servicer on such Interest Payment Date (inclusive of VAT, if any) together with costs and expenses which are due and payable or expected to become due and payable to the Back-Up Servicer under the Servicing Agreement prior to the next Interest Payment Date;
1.4.3	the Administrator Fee due and payable to the Administrator on such Interest Payment Date (inclusive of VAT, if any) together with costs and expenses which are due and payable or expected to become due and payable to the Administrator under the Administration Agreement prior to the next Interest Payment Date; and
1.4.4	the Back-Up Administrator Fee due and payable to the Back-Up Administrator on such Interest Payment Date (inclusive of VAT, if any) together with costs and expenses which are due and payable or expected to become due and payable to the Administrator under the Administration Agreement prior to the next Interest Payment Date;</text>
  </threadedComment>
  <threadedComment ref="C147" dT="2020-07-01T09:28:08.22" personId="{16F9F7B4-7BB1-41DB-B223-E57123AE1723}" id="{C82F6470-F70E-4753-B109-1A9A836D7A47}">
    <text>1.5	fifth, to pay or provide for pari passu and pro rata any net settlement amounts and Derivative Termination Amounts due and payable to any Derivative Counterparty in accordance with the Derivative Contracts (but excluding any Derivative Termination Amounts where the Derivative Counterparty is in default);</text>
  </threadedComment>
  <threadedComment ref="C148" dT="2020-07-01T09:28:21.98" personId="{16F9F7B4-7BB1-41DB-B223-E57123AE1723}" id="{E3979E7F-D465-4601-8F3D-EFF08B47B641}">
    <text>1.6	sixth, to pay all amounts due and payable under the Liquidity Facility other than in respect of principal;</text>
  </threadedComment>
  <threadedComment ref="C149" dT="2020-07-01T09:28:38.95" personId="{16F9F7B4-7BB1-41DB-B223-E57123AE1723}" id="{B34C523F-862F-4458-B20E-7FE0386134AE}">
    <text>1.7	seventh, to pay or provide for pari passu and pro rata:
1.7.1	for all amounts due and payable in respect of the Class A1 Notes other than in respect of principal on the Class A1 Notes; 
1.7.2	all amounts due and payable in respect of the Class A2 Notes other than in respect of principal on the Class A2 Notes; and
1.7.3	all amounts due and payable in respect of the Class A3 Notes other than in respect of principal on the Class A3 Notes;</text>
  </threadedComment>
  <threadedComment ref="C153" dT="2020-07-01T09:28:53.80" personId="{16F9F7B4-7BB1-41DB-B223-E57123AE1723}" id="{27358FAB-AE52-4DA3-BE82-E18AEC6517AC}">
    <text>1.8	eighth, subject to a Class B Interest Deferral Event not having occurred on or prior to that Interest Payment Date, to pay or provide for all amounts due and payable in respect of the Class B Notes other than in respect of principal on the Class B Notes;</text>
  </threadedComment>
  <threadedComment ref="C154" dT="2020-07-01T09:29:09.23" personId="{16F9F7B4-7BB1-41DB-B223-E57123AE1723}" id="{31636532-AA0C-4101-AE98-37981992C040}">
    <text>1.9	ninth, in the event only that a substitute Servicer assumes the role of Servicer, to pay or provide the Subordinated Servicing Fee, if any (inclusive of VAT, if any) due and payable to the substitute Servicer on such Interest Payment Date;</text>
  </threadedComment>
  <threadedComment ref="C155" dT="2020-07-01T09:29:24.56" personId="{16F9F7B4-7BB1-41DB-B223-E57123AE1723}" id="{A14B9DAD-044A-4B7F-A9C7-C1D334AFD8DB}">
    <text>1.10	tenth, subject to a Class C Interest Deferral Event not having occurred on or prior to that Interest Payment Date, to pay or to provide for all amounts due and payable in respect of the Class C Notes other than in respect of principal on the Class C Notes;</text>
  </threadedComment>
  <threadedComment ref="C156" dT="2020-07-01T09:29:39.12" personId="{16F9F7B4-7BB1-41DB-B223-E57123AE1723}" id="{03DF9CEE-F0A7-4A2C-878B-B0683DFBFEBF}">
    <text>1.11	eleventh, to repay all principal amounts outstanding under the Liquidity Facility as at the immediately preceding Determination Date up to an amount equal to the Potential Redemption Amount;</text>
  </threadedComment>
  <threadedComment ref="C157" dT="2020-07-01T09:30:54.67" personId="{16F9F7B4-7BB1-41DB-B223-E57123AE1723}" id="{6ECCB06E-6F47-437B-AC6E-C85B40A9C80D}">
    <text>1.12	twelfth, provided that a Stop-Lending Trigger Event has not occurred, to fund the advance by the Issuer of Redraws and Re-Advances up to an amount equal to the Potential Redemption Amount less the sum of the amounts applied under item 1.11 above;</text>
  </threadedComment>
  <threadedComment ref="C158" dT="2020-07-01T09:32:55.52" personId="{16F9F7B4-7BB1-41DB-B223-E57123AE1723}" id="{D08ECC3A-0108-4D2A-B1BB-8A0D40D67766}">
    <text>1.13	thirteenth, provided that a Stop-Lending Trigger Event has not occurred, to fund the advance by the Issuer of Further Advances and, during the Revolving Period only, to fund the purchase by the Issuer of Additional Assets, equal to the greater of zero and up to the lower of:</text>
  </threadedComment>
  <threadedComment ref="C159" dT="2020-07-01T10:02:56.38" personId="{16F9F7B4-7BB1-41DB-B223-E57123AE1723}" id="{19D40C2B-4C62-42EB-8B4C-F0EA0881E62E}">
    <text>1.15	fifteenth, if there are Class A Notes outstanding on such Interest Payment Date, to allocate an amount to be applied in redeeming the Notes (in the manner set out in paragraph 3 below) equal to the greater of zero and the Potential Redemption Amount less the sum of the amounts applied under items 1.11 to 1.14 above;
3.	The amount allocated for redemption of the Notes under items 1.15 of the Pre-Enforcement Priority of Payments will be divided into the Class A Redemption Amount, the Class B Redemption Amount and the Class C Redemption Amount. The Class A Redemption Amount will be allocated firstly to the Class A1 Notes and then pro rata to the Class A2 Notes and the Class A3 Notes provided that no amount shall be allocated to the Class A3 Notes if a Class A Principal Lock Out in respect of the Class A3 Notes applies.</text>
  </threadedComment>
  <threadedComment ref="C166" dT="2020-07-01T10:03:22.01" personId="{16F9F7B4-7BB1-41DB-B223-E57123AE1723}" id="{D8EFAF45-2185-448C-822B-3294A14B37EE}">
    <text>1.16	sixteenth, to credit the Arrears Reserve up to the Arrears Reserve Required Amount;</text>
  </threadedComment>
  <threadedComment ref="C167" dT="2020-07-01T10:05:05.09" personId="{16F9F7B4-7BB1-41DB-B223-E57123AE1723}" id="{AA331D2C-04A7-4352-B46A-00B54AA522B0}">
    <text>1.17	seventeenth, if a Class B Interest Deferral Event has occurred on or prior to such Interest Payment Date, to pay interest due and payable in respect of the Class B Notes;</text>
  </threadedComment>
  <threadedComment ref="C168" dT="2020-07-01T12:04:10.91" personId="{16F9F7B4-7BB1-41DB-B223-E57123AE1723}" id="{7F14970E-47A6-4FEA-8752-D675582C8437}">
    <text>1.18	eighteenth, if there are no Class A Notes outstanding on such Interest Payment Date, to allocate an amount to be applied in redeeming the remaining Notes (in the manner set out in paragraph 4 below) equal to the greater of zero and the Potential Redemption Amount less the sum of the amounts applied under items 1.11 to 1.15 above;
4.	The amount allocated for redemption of the Notes under item 1.18 of the Pre-Enforcement Priority of Payments will be divided into the Class B Redemption Amount and the Class C Redemption Amount.</text>
  </threadedComment>
  <threadedComment ref="C171" dT="2020-07-01T10:03:22.01" personId="{16F9F7B4-7BB1-41DB-B223-E57123AE1723}" id="{4E89DE16-AE83-4886-A5DC-961F414CAA68}">
    <text>1.16	sixteenth, to credit the Arrears Reserve up to the Arrears Reserve Required Amount;</text>
  </threadedComment>
  <threadedComment ref="C172" dT="2020-07-01T12:05:33.95" personId="{16F9F7B4-7BB1-41DB-B223-E57123AE1723}" id="{0BAC8CEE-2EE4-4D39-AE99-4BA5BB34ABD1}">
    <text>1.19	nineteenth, if a Class C Interest Deferral Event has occurred on or prior to such Interest Payment Date, to pay interest due and payable in respect of the Class C Notes;</text>
  </threadedComment>
  <threadedComment ref="C173" dT="2020-07-01T12:06:45.00" personId="{16F9F7B4-7BB1-41DB-B223-E57123AE1723}" id="{39B75775-D3A1-4D8C-B131-008AEA94957C}">
    <text>1.20	twentieth, if there are no Class B Notes outstanding on such Interest Payment Date, to allocate an amount to be applied in redeeming the Class C Notes (in the manner set out in paragraph 5 below) equal to the greater of zero and the Potential Redemption Amount less the sum of the amounts applied under items 1.11 to 1.15 and 1.18 above;
5.	The amount allocated for redemption of the Notes under item 1.20 of the Pre-Enforcement Priority of Payments will be allocated in full to the Class C Redemption Amount.</text>
  </threadedComment>
  <threadedComment ref="C175" dT="2020-07-01T12:08:33.83" personId="{16F9F7B4-7BB1-41DB-B223-E57123AE1723}" id="{10399754-8D0F-405F-9B2B-41B111A4BA45}">
    <text>1.21	twenty-first, to pay or provide for pari passu and pro rata the Derivative Termination Amounts due and payable to any Derivative Counterparty under the Derivative Contracts where the Derivative Counterparty is in default;</text>
  </threadedComment>
  <threadedComment ref="C176" dT="2020-07-01T12:32:50.70" personId="{16F9F7B4-7BB1-41DB-B223-E57123AE1723}" id="{38A2D290-5CAB-4EF9-8066-4622616CE99F}">
    <text>1.22	twenty-second, if the Issuer fails to exercise the call option to redeem all the Notes on the Latest Coupon Step-Up Date, in accordance with the terms and conditions of the Notes, to allocate all remaining cash in redeeming the Notes (in the manner set out in paragraph 3 below) on each Interest Payment Date from and including theat Latest Coupon Step-Up Date;</text>
  </threadedComment>
  <threadedComment ref="C177" dT="2020-07-01T12:33:36.96" personId="{16F9F7B4-7BB1-41DB-B223-E57123AE1723}" id="{18B0F5D4-549C-43C5-9D77-545F68499C0F}">
    <text>1.23	twenty-third, provided that the Subordinated Servicing Fee was not paid or provided for under item 1.9 above, to pay the Subordinated Servicing Fee due and payable to the Servicer on each Interest Payment Date, if any (inclusive of VAT, if any); provided that there is no Principal Deficiency on such Interest Payment Date and no Event of Default;</text>
  </threadedComment>
  <threadedComment ref="C178" dT="2020-07-01T12:52:53.39" personId="{16F9F7B4-7BB1-41DB-B223-E57123AE1723}" id="{B190DE05-F48B-4A9C-9B14-2FAC0AF82B9E}">
    <text>1.24	twenty-forth, to pay amounts due and payable in respect of the Subordinated Loan;</text>
  </threadedComment>
  <threadedComment ref="C182" dT="2020-07-01T12:53:16.85" personId="{16F9F7B4-7BB1-41DB-B223-E57123AE1723}" id="{566675D8-9190-4EAC-A7B6-23C8E6B6472A}">
    <text>1.25	twenty-fifth, to pay or provide for the dividend due and payable to the Preference Shareholder, net of Taxes; and</text>
  </threadedComment>
  <threadedComment ref="C183" dT="2020-07-01T12:53:33.02" personId="{16F9F7B4-7BB1-41DB-B223-E57123AE1723}" id="{0B67ABE6-878A-4D32-A180-42CD93DB5942}">
    <text>1.26	twenty-sixth, while any obligations (whether actual or contingent) remain outstanding to Secured Creditors, to invest the surplus, if any, in Permitted Investments and, only once all the obligations (whether contingent or otherwise) to Secured Creditors have been discharged in full, to pay the surplus, if any, to the ordinary shareholders of the Issuer by way of dividends, net of Taxes.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8E988-ADA2-4993-AA28-85519145DC68}">
  <dimension ref="B1:S234"/>
  <sheetViews>
    <sheetView topLeftCell="A151" zoomScale="90" zoomScaleNormal="90" workbookViewId="0">
      <selection activeCell="P151" sqref="P151"/>
    </sheetView>
  </sheetViews>
  <sheetFormatPr defaultColWidth="9.109375" defaultRowHeight="14.4"/>
  <cols>
    <col min="1" max="1" width="9.109375" style="1"/>
    <col min="2" max="2" width="3.44140625" style="1" customWidth="1"/>
    <col min="3" max="3" width="39.109375" style="1" customWidth="1"/>
    <col min="4" max="4" width="11.88671875" style="1" bestFit="1" customWidth="1"/>
    <col min="5" max="5" width="11.44140625" style="1" customWidth="1"/>
    <col min="6" max="9" width="9.109375" style="1"/>
    <col min="10" max="10" width="18.109375" style="1" customWidth="1"/>
    <col min="11" max="12" width="9.109375" style="1"/>
    <col min="13" max="13" width="18.109375" style="1" customWidth="1"/>
    <col min="14" max="14" width="10.44140625" style="1" customWidth="1"/>
    <col min="15" max="15" width="4" style="1" customWidth="1"/>
    <col min="16" max="16" width="13.77734375" style="1" bestFit="1" customWidth="1"/>
    <col min="17" max="17" width="13.88671875" style="1" bestFit="1" customWidth="1"/>
    <col min="18" max="18" width="14" style="1" customWidth="1"/>
    <col min="19" max="19" width="14.33203125" style="1" hidden="1" customWidth="1"/>
    <col min="20" max="16384" width="9.109375" style="1"/>
  </cols>
  <sheetData>
    <row r="1" spans="2:15" ht="15" thickBot="1"/>
    <row r="2" spans="2:15" ht="15" thickBot="1">
      <c r="B2" s="2"/>
      <c r="C2" s="3"/>
      <c r="D2" s="3"/>
      <c r="E2" s="3"/>
      <c r="F2" s="3"/>
      <c r="G2" s="3"/>
      <c r="H2" s="3"/>
      <c r="I2" s="3"/>
      <c r="J2" s="3"/>
      <c r="K2" s="3"/>
      <c r="L2" s="3"/>
      <c r="M2" s="3"/>
      <c r="N2" s="3"/>
      <c r="O2" s="4"/>
    </row>
    <row r="3" spans="2:15" ht="20.25" customHeight="1">
      <c r="B3" s="5"/>
      <c r="C3" s="6" t="s">
        <v>0</v>
      </c>
      <c r="D3" s="7"/>
      <c r="E3" s="7"/>
      <c r="F3" s="7"/>
      <c r="G3" s="7"/>
      <c r="H3" s="7"/>
      <c r="I3" s="7"/>
      <c r="J3" s="7"/>
      <c r="K3" s="7"/>
      <c r="L3" s="7"/>
      <c r="M3" s="7"/>
      <c r="N3" s="8"/>
      <c r="O3" s="9"/>
    </row>
    <row r="4" spans="2:15" ht="20.25" customHeight="1" thickBot="1">
      <c r="B4" s="5"/>
      <c r="C4" s="10"/>
      <c r="D4" s="11"/>
      <c r="E4" s="11"/>
      <c r="F4" s="11"/>
      <c r="G4" s="11"/>
      <c r="H4" s="11"/>
      <c r="I4" s="11"/>
      <c r="J4" s="11"/>
      <c r="K4" s="11"/>
      <c r="L4" s="11"/>
      <c r="M4" s="11"/>
      <c r="N4" s="12"/>
      <c r="O4" s="9"/>
    </row>
    <row r="5" spans="2:15" ht="15" thickBot="1">
      <c r="B5" s="5"/>
      <c r="C5" s="13"/>
      <c r="D5" s="13"/>
      <c r="E5" s="13"/>
      <c r="F5" s="13"/>
      <c r="G5" s="13"/>
      <c r="H5" s="13"/>
      <c r="I5" s="13"/>
      <c r="J5" s="13"/>
      <c r="K5" s="13"/>
      <c r="L5" s="13"/>
      <c r="M5" s="13"/>
      <c r="N5" s="13"/>
      <c r="O5" s="9"/>
    </row>
    <row r="6" spans="2:15" ht="15" thickBot="1">
      <c r="B6" s="5"/>
      <c r="C6" s="14" t="s">
        <v>1</v>
      </c>
      <c r="D6" s="15"/>
      <c r="E6" s="15"/>
      <c r="F6" s="15"/>
      <c r="G6" s="15"/>
      <c r="H6" s="15"/>
      <c r="I6" s="15"/>
      <c r="J6" s="15"/>
      <c r="K6" s="15"/>
      <c r="L6" s="15"/>
      <c r="M6" s="15"/>
      <c r="N6" s="16"/>
      <c r="O6" s="9"/>
    </row>
    <row r="7" spans="2:15" ht="15" thickBot="1">
      <c r="B7" s="5"/>
      <c r="C7" s="13"/>
      <c r="D7" s="13"/>
      <c r="E7" s="13"/>
      <c r="F7" s="13"/>
      <c r="G7" s="13"/>
      <c r="H7" s="13"/>
      <c r="I7" s="13"/>
      <c r="J7" s="13"/>
      <c r="K7" s="13"/>
      <c r="L7" s="13"/>
      <c r="M7" s="13"/>
      <c r="N7" s="13"/>
      <c r="O7" s="9"/>
    </row>
    <row r="8" spans="2:15">
      <c r="B8" s="5"/>
      <c r="C8" s="17" t="s">
        <v>2</v>
      </c>
      <c r="D8" s="18"/>
      <c r="E8" s="18"/>
      <c r="F8" s="18"/>
      <c r="G8" s="18"/>
      <c r="H8" s="18"/>
      <c r="I8" s="19"/>
      <c r="J8" s="20">
        <f>J9+12</f>
        <v>44604</v>
      </c>
      <c r="K8" s="20"/>
      <c r="L8" s="20"/>
      <c r="M8" s="20"/>
      <c r="N8" s="21"/>
      <c r="O8" s="9"/>
    </row>
    <row r="9" spans="2:15">
      <c r="B9" s="5"/>
      <c r="C9" s="22" t="s">
        <v>3</v>
      </c>
      <c r="D9" s="23"/>
      <c r="E9" s="23"/>
      <c r="F9" s="23"/>
      <c r="G9" s="23"/>
      <c r="H9" s="23"/>
      <c r="I9" s="24"/>
      <c r="J9" s="25">
        <f>'Servicer Report'!J9</f>
        <v>44592</v>
      </c>
      <c r="K9" s="25"/>
      <c r="L9" s="25"/>
      <c r="M9" s="25"/>
      <c r="N9" s="26"/>
      <c r="O9" s="9"/>
    </row>
    <row r="10" spans="2:15">
      <c r="B10" s="5"/>
      <c r="C10" s="27" t="s">
        <v>4</v>
      </c>
      <c r="D10" s="28"/>
      <c r="E10" s="29"/>
      <c r="F10" s="30" t="s">
        <v>5</v>
      </c>
      <c r="G10" s="23"/>
      <c r="H10" s="23"/>
      <c r="I10" s="24"/>
      <c r="J10" s="25">
        <f>'Servicer Report'!J10</f>
        <v>44500</v>
      </c>
      <c r="K10" s="25"/>
      <c r="L10" s="25"/>
      <c r="M10" s="25"/>
      <c r="N10" s="26"/>
      <c r="O10" s="9"/>
    </row>
    <row r="11" spans="2:15" ht="15" customHeight="1">
      <c r="B11" s="5"/>
      <c r="C11" s="31"/>
      <c r="D11" s="32"/>
      <c r="E11" s="33"/>
      <c r="F11" s="34" t="s">
        <v>6</v>
      </c>
      <c r="G11" s="23"/>
      <c r="H11" s="23"/>
      <c r="I11" s="24"/>
      <c r="J11" s="25">
        <f>'Servicer Report'!J11</f>
        <v>44592</v>
      </c>
      <c r="K11" s="25"/>
      <c r="L11" s="25"/>
      <c r="M11" s="25"/>
      <c r="N11" s="26"/>
      <c r="O11" s="9"/>
    </row>
    <row r="12" spans="2:15">
      <c r="B12" s="5"/>
      <c r="C12" s="35" t="s">
        <v>7</v>
      </c>
      <c r="D12" s="36"/>
      <c r="E12" s="37"/>
      <c r="F12" s="38"/>
      <c r="G12" s="23"/>
      <c r="H12" s="23"/>
      <c r="I12" s="24"/>
      <c r="J12" s="39">
        <f>J11-J10</f>
        <v>92</v>
      </c>
      <c r="K12" s="39"/>
      <c r="L12" s="39"/>
      <c r="M12" s="39"/>
      <c r="N12" s="40"/>
      <c r="O12" s="9"/>
    </row>
    <row r="13" spans="2:15">
      <c r="B13" s="5"/>
      <c r="C13" s="41" t="s">
        <v>8</v>
      </c>
      <c r="D13" s="38"/>
      <c r="E13" s="38"/>
      <c r="F13" s="38"/>
      <c r="G13" s="38"/>
      <c r="H13" s="38"/>
      <c r="I13" s="42"/>
      <c r="J13" s="25">
        <f>'Servicer Report'!J18</f>
        <v>44607</v>
      </c>
      <c r="K13" s="25"/>
      <c r="L13" s="25"/>
      <c r="M13" s="25"/>
      <c r="N13" s="26"/>
      <c r="O13" s="9"/>
    </row>
    <row r="14" spans="2:15">
      <c r="B14" s="5"/>
      <c r="C14" s="27" t="s">
        <v>9</v>
      </c>
      <c r="D14" s="28"/>
      <c r="E14" s="33"/>
      <c r="F14" s="43" t="s">
        <v>10</v>
      </c>
      <c r="G14" s="38"/>
      <c r="H14" s="38"/>
      <c r="I14" s="42"/>
      <c r="J14" s="25">
        <f>'Servicer Report'!J17</f>
        <v>44515</v>
      </c>
      <c r="K14" s="25"/>
      <c r="L14" s="25"/>
      <c r="M14" s="25"/>
      <c r="N14" s="26"/>
      <c r="O14" s="9"/>
    </row>
    <row r="15" spans="2:15" ht="15" customHeight="1">
      <c r="B15" s="5"/>
      <c r="C15" s="31"/>
      <c r="D15" s="32"/>
      <c r="E15" s="44"/>
      <c r="F15" s="30" t="s">
        <v>11</v>
      </c>
      <c r="G15" s="38"/>
      <c r="H15" s="38"/>
      <c r="I15" s="42"/>
      <c r="J15" s="25">
        <f>J13</f>
        <v>44607</v>
      </c>
      <c r="K15" s="25"/>
      <c r="L15" s="25"/>
      <c r="M15" s="25"/>
      <c r="N15" s="26"/>
      <c r="O15" s="9"/>
    </row>
    <row r="16" spans="2:15">
      <c r="B16" s="5"/>
      <c r="C16" s="35" t="s">
        <v>12</v>
      </c>
      <c r="D16" s="45"/>
      <c r="E16" s="45"/>
      <c r="F16" s="38"/>
      <c r="G16" s="38"/>
      <c r="H16" s="38"/>
      <c r="I16" s="42"/>
      <c r="J16" s="39">
        <f>J15-J14</f>
        <v>92</v>
      </c>
      <c r="K16" s="39"/>
      <c r="L16" s="39"/>
      <c r="M16" s="39"/>
      <c r="N16" s="40"/>
      <c r="O16" s="9"/>
    </row>
    <row r="17" spans="2:15">
      <c r="B17" s="5"/>
      <c r="C17" s="46" t="s">
        <v>13</v>
      </c>
      <c r="D17" s="37"/>
      <c r="E17" s="37"/>
      <c r="F17" s="38"/>
      <c r="G17" s="38"/>
      <c r="H17" s="38"/>
      <c r="I17" s="42"/>
      <c r="J17" s="47">
        <v>609000000</v>
      </c>
      <c r="K17" s="47"/>
      <c r="L17" s="47"/>
      <c r="M17" s="47"/>
      <c r="N17" s="48"/>
      <c r="O17" s="9"/>
    </row>
    <row r="18" spans="2:15">
      <c r="B18" s="5"/>
      <c r="C18" s="46" t="s">
        <v>14</v>
      </c>
      <c r="D18" s="37"/>
      <c r="E18" s="37"/>
      <c r="F18" s="38"/>
      <c r="G18" s="38"/>
      <c r="H18" s="38"/>
      <c r="I18" s="42"/>
      <c r="J18" s="47">
        <v>596841630.86999989</v>
      </c>
      <c r="K18" s="47"/>
      <c r="L18" s="47"/>
      <c r="M18" s="47"/>
      <c r="N18" s="48"/>
      <c r="O18" s="9"/>
    </row>
    <row r="19" spans="2:15">
      <c r="B19" s="5"/>
      <c r="C19" s="35" t="s">
        <v>15</v>
      </c>
      <c r="D19" s="45"/>
      <c r="E19" s="45"/>
      <c r="F19" s="23"/>
      <c r="G19" s="23"/>
      <c r="H19" s="23"/>
      <c r="I19" s="24"/>
      <c r="J19" s="47">
        <f>J18-F159</f>
        <v>550561646.95999992</v>
      </c>
      <c r="K19" s="47"/>
      <c r="L19" s="47"/>
      <c r="M19" s="47"/>
      <c r="N19" s="48"/>
      <c r="O19" s="9"/>
    </row>
    <row r="20" spans="2:15" ht="15" thickBot="1">
      <c r="B20" s="5"/>
      <c r="C20" s="49" t="s">
        <v>16</v>
      </c>
      <c r="D20" s="50"/>
      <c r="E20" s="50"/>
      <c r="F20" s="50"/>
      <c r="G20" s="50"/>
      <c r="H20" s="50"/>
      <c r="I20" s="50"/>
      <c r="J20" s="51" t="s">
        <v>17</v>
      </c>
      <c r="K20" s="51"/>
      <c r="L20" s="51"/>
      <c r="M20" s="51"/>
      <c r="N20" s="52"/>
      <c r="O20" s="9"/>
    </row>
    <row r="21" spans="2:15" ht="15" thickBot="1">
      <c r="B21" s="5"/>
      <c r="C21" s="13"/>
      <c r="D21" s="13"/>
      <c r="E21" s="13"/>
      <c r="F21" s="13"/>
      <c r="G21" s="13"/>
      <c r="H21" s="13"/>
      <c r="I21" s="13"/>
      <c r="J21" s="13"/>
      <c r="K21" s="13"/>
      <c r="L21" s="13"/>
      <c r="M21" s="13"/>
      <c r="N21" s="13"/>
      <c r="O21" s="9"/>
    </row>
    <row r="22" spans="2:15">
      <c r="B22" s="5"/>
      <c r="C22" s="53" t="s">
        <v>18</v>
      </c>
      <c r="D22" s="54"/>
      <c r="E22" s="54"/>
      <c r="F22" s="54"/>
      <c r="G22" s="54"/>
      <c r="H22" s="54"/>
      <c r="I22" s="54"/>
      <c r="J22" s="54"/>
      <c r="K22" s="54"/>
      <c r="L22" s="54"/>
      <c r="M22" s="54"/>
      <c r="N22" s="55"/>
      <c r="O22" s="9"/>
    </row>
    <row r="23" spans="2:15">
      <c r="B23" s="5"/>
      <c r="C23" s="41" t="s">
        <v>19</v>
      </c>
      <c r="D23" s="56"/>
      <c r="E23" s="56"/>
      <c r="F23" s="56"/>
      <c r="G23" s="57" t="s">
        <v>20</v>
      </c>
      <c r="H23" s="58"/>
      <c r="I23" s="57" t="s">
        <v>21</v>
      </c>
      <c r="J23" s="58"/>
      <c r="K23" s="57" t="s">
        <v>22</v>
      </c>
      <c r="L23" s="58"/>
      <c r="M23" s="57" t="s">
        <v>23</v>
      </c>
      <c r="N23" s="59"/>
      <c r="O23" s="9"/>
    </row>
    <row r="24" spans="2:15">
      <c r="B24" s="5"/>
      <c r="C24" s="60" t="s">
        <v>24</v>
      </c>
      <c r="D24" s="61"/>
      <c r="E24" s="61"/>
      <c r="F24" s="61"/>
      <c r="G24" s="62" t="s">
        <v>25</v>
      </c>
      <c r="H24" s="63"/>
      <c r="I24" s="62" t="s">
        <v>26</v>
      </c>
      <c r="J24" s="63"/>
      <c r="K24" s="62" t="s">
        <v>27</v>
      </c>
      <c r="L24" s="63"/>
      <c r="M24" s="62" t="s">
        <v>28</v>
      </c>
      <c r="N24" s="64"/>
      <c r="O24" s="9"/>
    </row>
    <row r="25" spans="2:15">
      <c r="B25" s="5"/>
      <c r="C25" s="41" t="s">
        <v>29</v>
      </c>
      <c r="D25" s="56"/>
      <c r="E25" s="56"/>
      <c r="F25" s="56"/>
      <c r="G25" s="62" t="s">
        <v>30</v>
      </c>
      <c r="H25" s="63"/>
      <c r="I25" s="62" t="s">
        <v>31</v>
      </c>
      <c r="J25" s="63"/>
      <c r="K25" s="62" t="s">
        <v>32</v>
      </c>
      <c r="L25" s="63"/>
      <c r="M25" s="62" t="s">
        <v>33</v>
      </c>
      <c r="N25" s="64"/>
      <c r="O25" s="9"/>
    </row>
    <row r="26" spans="2:15">
      <c r="B26" s="5"/>
      <c r="C26" s="41" t="s">
        <v>34</v>
      </c>
      <c r="D26" s="56"/>
      <c r="E26" s="56"/>
      <c r="F26" s="56"/>
      <c r="G26" s="62" t="s">
        <v>35</v>
      </c>
      <c r="H26" s="63"/>
      <c r="I26" s="62" t="s">
        <v>35</v>
      </c>
      <c r="J26" s="63"/>
      <c r="K26" s="62" t="s">
        <v>35</v>
      </c>
      <c r="L26" s="63"/>
      <c r="M26" s="62" t="s">
        <v>35</v>
      </c>
      <c r="N26" s="64"/>
      <c r="O26" s="9"/>
    </row>
    <row r="27" spans="2:15">
      <c r="B27" s="5"/>
      <c r="C27" s="60" t="s">
        <v>36</v>
      </c>
      <c r="D27" s="61"/>
      <c r="E27" s="61"/>
      <c r="F27" s="61"/>
      <c r="G27" s="65">
        <v>1.55E-2</v>
      </c>
      <c r="H27" s="66"/>
      <c r="I27" s="67">
        <v>2.1999999999999999E-2</v>
      </c>
      <c r="J27" s="68"/>
      <c r="K27" s="67">
        <v>2.5000000000000001E-2</v>
      </c>
      <c r="L27" s="68"/>
      <c r="M27" s="67">
        <v>3.7999999999999999E-2</v>
      </c>
      <c r="N27" s="69"/>
      <c r="O27" s="9"/>
    </row>
    <row r="28" spans="2:15">
      <c r="B28" s="5"/>
      <c r="C28" s="41" t="s">
        <v>37</v>
      </c>
      <c r="D28" s="56"/>
      <c r="E28" s="56"/>
      <c r="F28" s="56"/>
      <c r="G28" s="65">
        <f>G27*1.3</f>
        <v>2.0150000000000001E-2</v>
      </c>
      <c r="H28" s="66"/>
      <c r="I28" s="67">
        <f>I27*1.3</f>
        <v>2.86E-2</v>
      </c>
      <c r="J28" s="68"/>
      <c r="K28" s="67">
        <f>K27*1.3</f>
        <v>3.2500000000000001E-2</v>
      </c>
      <c r="L28" s="68"/>
      <c r="M28" s="67">
        <f>M27*1.3</f>
        <v>4.9399999999999999E-2</v>
      </c>
      <c r="N28" s="69"/>
      <c r="O28" s="9"/>
    </row>
    <row r="29" spans="2:15">
      <c r="B29" s="5"/>
      <c r="C29" s="60" t="s">
        <v>38</v>
      </c>
      <c r="D29" s="61"/>
      <c r="E29" s="61"/>
      <c r="F29" s="61"/>
      <c r="G29" s="70">
        <f>'Servicer Report'!$J$16</f>
        <v>3.6830000000000002E-2</v>
      </c>
      <c r="H29" s="71"/>
      <c r="I29" s="70">
        <f>'Servicer Report'!$J$16</f>
        <v>3.6830000000000002E-2</v>
      </c>
      <c r="J29" s="71"/>
      <c r="K29" s="70">
        <f>'Servicer Report'!$J$16</f>
        <v>3.6830000000000002E-2</v>
      </c>
      <c r="L29" s="71"/>
      <c r="M29" s="72">
        <f>'Servicer Report'!$J$16</f>
        <v>3.6830000000000002E-2</v>
      </c>
      <c r="N29" s="73"/>
      <c r="O29" s="9"/>
    </row>
    <row r="30" spans="2:15">
      <c r="B30" s="5"/>
      <c r="C30" s="41" t="s">
        <v>39</v>
      </c>
      <c r="D30" s="56"/>
      <c r="E30" s="56"/>
      <c r="F30" s="56"/>
      <c r="G30" s="70">
        <f>G29+G27</f>
        <v>5.2330000000000002E-2</v>
      </c>
      <c r="H30" s="71"/>
      <c r="I30" s="72">
        <f t="shared" ref="I30" si="0">I29+I27</f>
        <v>5.883E-2</v>
      </c>
      <c r="J30" s="74"/>
      <c r="K30" s="72">
        <f t="shared" ref="K30" si="1">K29+K27</f>
        <v>6.1830000000000003E-2</v>
      </c>
      <c r="L30" s="74"/>
      <c r="M30" s="72">
        <f>M29+M27</f>
        <v>7.4830000000000008E-2</v>
      </c>
      <c r="N30" s="73"/>
      <c r="O30" s="9"/>
    </row>
    <row r="31" spans="2:15">
      <c r="B31" s="5"/>
      <c r="C31" s="60" t="s">
        <v>40</v>
      </c>
      <c r="D31" s="61"/>
      <c r="E31" s="61"/>
      <c r="F31" s="61"/>
      <c r="G31" s="75">
        <v>202000000</v>
      </c>
      <c r="H31" s="76"/>
      <c r="I31" s="75">
        <v>309000000</v>
      </c>
      <c r="J31" s="76"/>
      <c r="K31" s="75">
        <v>73000000</v>
      </c>
      <c r="L31" s="76"/>
      <c r="M31" s="75">
        <v>25000000</v>
      </c>
      <c r="N31" s="77"/>
      <c r="O31" s="9"/>
    </row>
    <row r="32" spans="2:15">
      <c r="B32" s="5"/>
      <c r="C32" s="78" t="s">
        <v>41</v>
      </c>
      <c r="D32" s="56"/>
      <c r="E32" s="56"/>
      <c r="F32" s="56"/>
      <c r="G32" s="67">
        <f>G31/SUM($E$31:$N$31)</f>
        <v>0.33169129720853857</v>
      </c>
      <c r="H32" s="68"/>
      <c r="I32" s="67">
        <f>I31/SUM($E$31:$N$31)</f>
        <v>0.5073891625615764</v>
      </c>
      <c r="J32" s="68"/>
      <c r="K32" s="67">
        <f>K31/SUM($E$31:$N$31)</f>
        <v>0.11986863711001643</v>
      </c>
      <c r="L32" s="68"/>
      <c r="M32" s="67">
        <f>M31/SUM($E$31:$N$31)</f>
        <v>4.1050903119868636E-2</v>
      </c>
      <c r="N32" s="69"/>
      <c r="O32" s="9"/>
    </row>
    <row r="33" spans="2:15">
      <c r="B33" s="5"/>
      <c r="C33" s="78" t="s">
        <v>42</v>
      </c>
      <c r="D33" s="56"/>
      <c r="E33" s="56"/>
      <c r="F33" s="56"/>
      <c r="G33" s="67">
        <v>0.30101760342003686</v>
      </c>
      <c r="H33" s="68"/>
      <c r="I33" s="67">
        <v>0.4604675220633237</v>
      </c>
      <c r="J33" s="68"/>
      <c r="K33" s="67">
        <v>0.10878358935476579</v>
      </c>
      <c r="L33" s="68"/>
      <c r="M33" s="67">
        <v>3.7254653888618421E-2</v>
      </c>
      <c r="N33" s="69"/>
      <c r="O33" s="9"/>
    </row>
    <row r="34" spans="2:15">
      <c r="B34" s="5"/>
      <c r="C34" s="78" t="s">
        <v>43</v>
      </c>
      <c r="D34" s="56"/>
      <c r="E34" s="56"/>
      <c r="F34" s="56"/>
      <c r="G34" s="67">
        <f>1-G33</f>
        <v>0.69898239657996308</v>
      </c>
      <c r="H34" s="68"/>
      <c r="I34" s="67">
        <f>1-SUM(G33:J33)</f>
        <v>0.23851487451663944</v>
      </c>
      <c r="J34" s="68"/>
      <c r="K34" s="67">
        <f>1-SUM(E33:L33)</f>
        <v>0.12973128516187371</v>
      </c>
      <c r="L34" s="68"/>
      <c r="M34" s="67">
        <f>1-SUM(E33:N33)</f>
        <v>9.2476631273255339E-2</v>
      </c>
      <c r="N34" s="69"/>
      <c r="O34" s="9"/>
    </row>
    <row r="35" spans="2:15">
      <c r="B35" s="5"/>
      <c r="C35" s="41" t="s">
        <v>44</v>
      </c>
      <c r="D35" s="56"/>
      <c r="E35" s="56"/>
      <c r="F35" s="56"/>
      <c r="G35" s="75">
        <v>189841631</v>
      </c>
      <c r="H35" s="76"/>
      <c r="I35" s="75">
        <v>309000000</v>
      </c>
      <c r="J35" s="76"/>
      <c r="K35" s="75">
        <v>73000000</v>
      </c>
      <c r="L35" s="76"/>
      <c r="M35" s="75">
        <v>25000000</v>
      </c>
      <c r="N35" s="77"/>
      <c r="O35" s="9"/>
    </row>
    <row r="36" spans="2:15">
      <c r="B36" s="5"/>
      <c r="C36" s="41" t="s">
        <v>45</v>
      </c>
      <c r="D36" s="56"/>
      <c r="E36" s="56"/>
      <c r="F36" s="56"/>
      <c r="G36" s="75">
        <f>G35*G30*$J$16/365</f>
        <v>2504016.3140305756</v>
      </c>
      <c r="H36" s="76"/>
      <c r="I36" s="75">
        <f>I35*I30*$J$16/365</f>
        <v>4581970.5205479451</v>
      </c>
      <c r="J36" s="76"/>
      <c r="K36" s="75">
        <f>K35*K30*$J$16/365</f>
        <v>1137672</v>
      </c>
      <c r="L36" s="76"/>
      <c r="M36" s="75">
        <f>M35*M30*$J$16/365</f>
        <v>471531.50684931513</v>
      </c>
      <c r="N36" s="77"/>
      <c r="O36" s="9"/>
    </row>
    <row r="37" spans="2:15">
      <c r="B37" s="5"/>
      <c r="C37" s="41" t="s">
        <v>46</v>
      </c>
      <c r="D37" s="56"/>
      <c r="E37" s="56"/>
      <c r="F37" s="56"/>
      <c r="G37" s="75">
        <f>G36</f>
        <v>2504016.3140305756</v>
      </c>
      <c r="H37" s="76"/>
      <c r="I37" s="75">
        <f>I36</f>
        <v>4581970.5205479451</v>
      </c>
      <c r="J37" s="76"/>
      <c r="K37" s="75">
        <f>K36</f>
        <v>1137672</v>
      </c>
      <c r="L37" s="76"/>
      <c r="M37" s="75">
        <f>M36</f>
        <v>471531.50684931513</v>
      </c>
      <c r="N37" s="77"/>
      <c r="O37" s="9"/>
    </row>
    <row r="38" spans="2:15">
      <c r="B38" s="5"/>
      <c r="C38" s="41" t="s">
        <v>47</v>
      </c>
      <c r="D38" s="56"/>
      <c r="E38" s="56"/>
      <c r="F38" s="56"/>
      <c r="G38" s="75">
        <f>G36-G37</f>
        <v>0</v>
      </c>
      <c r="H38" s="76"/>
      <c r="I38" s="75">
        <f>I36-I37</f>
        <v>0</v>
      </c>
      <c r="J38" s="76"/>
      <c r="K38" s="75">
        <f>K36-K37</f>
        <v>0</v>
      </c>
      <c r="L38" s="76"/>
      <c r="M38" s="75">
        <f>M36-M37</f>
        <v>0</v>
      </c>
      <c r="N38" s="77"/>
      <c r="O38" s="9"/>
    </row>
    <row r="39" spans="2:15">
      <c r="B39" s="5"/>
      <c r="C39" s="41" t="s">
        <v>48</v>
      </c>
      <c r="D39" s="56"/>
      <c r="E39" s="56"/>
      <c r="F39" s="56"/>
      <c r="G39" s="75">
        <f>ROUND(F161,0)</f>
        <v>46279984</v>
      </c>
      <c r="H39" s="76"/>
      <c r="I39" s="75">
        <v>0</v>
      </c>
      <c r="J39" s="76"/>
      <c r="K39" s="75">
        <v>0</v>
      </c>
      <c r="L39" s="76"/>
      <c r="M39" s="75">
        <v>0</v>
      </c>
      <c r="N39" s="77"/>
      <c r="O39" s="9"/>
    </row>
    <row r="40" spans="2:15">
      <c r="B40" s="5"/>
      <c r="C40" s="41" t="s">
        <v>49</v>
      </c>
      <c r="D40" s="56"/>
      <c r="E40" s="56"/>
      <c r="F40" s="56"/>
      <c r="G40" s="75">
        <f>G35-G39</f>
        <v>143561647</v>
      </c>
      <c r="H40" s="76"/>
      <c r="I40" s="75">
        <f>I35-I39</f>
        <v>309000000</v>
      </c>
      <c r="J40" s="76"/>
      <c r="K40" s="75">
        <f>K35-K39</f>
        <v>73000000</v>
      </c>
      <c r="L40" s="76"/>
      <c r="M40" s="75">
        <f>M35-M39</f>
        <v>25000000</v>
      </c>
      <c r="N40" s="77"/>
      <c r="O40" s="9"/>
    </row>
    <row r="41" spans="2:15">
      <c r="B41" s="5"/>
      <c r="C41" s="78" t="s">
        <v>50</v>
      </c>
      <c r="D41" s="56"/>
      <c r="E41" s="56"/>
      <c r="F41" s="56"/>
      <c r="G41" s="67">
        <f>G40/SUM($E$40:$N$40)</f>
        <v>0.26075489962343856</v>
      </c>
      <c r="H41" s="68"/>
      <c r="I41" s="67">
        <f>I40/SUM($E$40:$N$40)</f>
        <v>0.56124505163724203</v>
      </c>
      <c r="J41" s="68"/>
      <c r="K41" s="67">
        <f>K40/SUM($E$40:$N$40)</f>
        <v>0.13259187304051348</v>
      </c>
      <c r="L41" s="68"/>
      <c r="M41" s="67">
        <f>M40/SUM($E$40:$N$40)</f>
        <v>4.5408175698805987E-2</v>
      </c>
      <c r="N41" s="69"/>
      <c r="O41" s="9"/>
    </row>
    <row r="42" spans="2:15">
      <c r="B42" s="5"/>
      <c r="C42" s="78" t="s">
        <v>51</v>
      </c>
      <c r="D42" s="56"/>
      <c r="E42" s="56"/>
      <c r="F42" s="56"/>
      <c r="G42" s="67">
        <v>0.23348297535456836</v>
      </c>
      <c r="H42" s="68"/>
      <c r="I42" s="67">
        <v>0.50254535868177674</v>
      </c>
      <c r="J42" s="68"/>
      <c r="K42" s="67">
        <v>0.11872430803808966</v>
      </c>
      <c r="L42" s="68"/>
      <c r="M42" s="67">
        <v>4.0659009602085502E-2</v>
      </c>
      <c r="N42" s="69"/>
      <c r="O42" s="9"/>
    </row>
    <row r="43" spans="2:15">
      <c r="B43" s="5"/>
      <c r="C43" s="79" t="s">
        <v>52</v>
      </c>
      <c r="D43" s="56"/>
      <c r="E43" s="56"/>
      <c r="F43" s="56"/>
      <c r="G43" s="67">
        <f>1-G42</f>
        <v>0.76651702464543159</v>
      </c>
      <c r="H43" s="68"/>
      <c r="I43" s="67">
        <f>1-SUM(G42:J42)</f>
        <v>0.26397166596365484</v>
      </c>
      <c r="J43" s="68"/>
      <c r="K43" s="67">
        <f>1-SUM(E42:L42)</f>
        <v>0.1452473579255652</v>
      </c>
      <c r="L43" s="68"/>
      <c r="M43" s="67">
        <f>1-SUM(G42:N42)</f>
        <v>0.10458834832347974</v>
      </c>
      <c r="N43" s="69"/>
      <c r="O43" s="9"/>
    </row>
    <row r="44" spans="2:15">
      <c r="B44" s="5"/>
      <c r="C44" s="41" t="s">
        <v>53</v>
      </c>
      <c r="D44" s="56"/>
      <c r="E44" s="56"/>
      <c r="F44" s="56"/>
      <c r="G44" s="80">
        <v>52366</v>
      </c>
      <c r="H44" s="66"/>
      <c r="I44" s="80">
        <v>52366</v>
      </c>
      <c r="J44" s="66"/>
      <c r="K44" s="80">
        <v>52366</v>
      </c>
      <c r="L44" s="66"/>
      <c r="M44" s="80">
        <v>52366</v>
      </c>
      <c r="N44" s="81"/>
      <c r="O44" s="9"/>
    </row>
    <row r="45" spans="2:15">
      <c r="B45" s="5"/>
      <c r="C45" s="60" t="s">
        <v>54</v>
      </c>
      <c r="D45" s="61"/>
      <c r="E45" s="61"/>
      <c r="F45" s="61"/>
      <c r="G45" s="80">
        <v>45427</v>
      </c>
      <c r="H45" s="66"/>
      <c r="I45" s="80">
        <v>46157</v>
      </c>
      <c r="J45" s="66"/>
      <c r="K45" s="80">
        <v>46157</v>
      </c>
      <c r="L45" s="66"/>
      <c r="M45" s="80">
        <v>46157</v>
      </c>
      <c r="N45" s="81"/>
      <c r="O45" s="9"/>
    </row>
    <row r="46" spans="2:15">
      <c r="B46" s="5"/>
      <c r="C46" s="41" t="s">
        <v>55</v>
      </c>
      <c r="D46" s="56"/>
      <c r="E46" s="56"/>
      <c r="F46" s="56"/>
      <c r="G46" s="67">
        <v>4.1666700000000001E-2</v>
      </c>
      <c r="H46" s="68"/>
      <c r="I46" s="67">
        <f>G46</f>
        <v>4.1666700000000001E-2</v>
      </c>
      <c r="J46" s="68"/>
      <c r="K46" s="67">
        <f>I46</f>
        <v>4.1666700000000001E-2</v>
      </c>
      <c r="L46" s="68"/>
      <c r="M46" s="67">
        <f>K46</f>
        <v>4.1666700000000001E-2</v>
      </c>
      <c r="N46" s="69"/>
      <c r="O46" s="9"/>
    </row>
    <row r="47" spans="2:15">
      <c r="B47" s="5"/>
      <c r="C47" s="60" t="s">
        <v>56</v>
      </c>
      <c r="D47" s="61"/>
      <c r="E47" s="61"/>
      <c r="F47" s="61"/>
      <c r="G47" s="70">
        <f>G46+G27</f>
        <v>5.7166700000000001E-2</v>
      </c>
      <c r="H47" s="71"/>
      <c r="I47" s="72">
        <f>I46+I27</f>
        <v>6.3666699999999993E-2</v>
      </c>
      <c r="J47" s="74"/>
      <c r="K47" s="72">
        <f>K46+K27</f>
        <v>6.6666699999999995E-2</v>
      </c>
      <c r="L47" s="74"/>
      <c r="M47" s="72">
        <f>M46+M27</f>
        <v>7.9666700000000007E-2</v>
      </c>
      <c r="N47" s="73"/>
      <c r="O47" s="9"/>
    </row>
    <row r="48" spans="2:15">
      <c r="B48" s="5"/>
      <c r="C48" s="41" t="s">
        <v>57</v>
      </c>
      <c r="D48" s="56"/>
      <c r="E48" s="56"/>
      <c r="F48" s="56"/>
      <c r="G48" s="82" t="s">
        <v>323</v>
      </c>
      <c r="H48" s="66"/>
      <c r="I48" s="82" t="s">
        <v>324</v>
      </c>
      <c r="J48" s="66"/>
      <c r="K48" s="82" t="s">
        <v>325</v>
      </c>
      <c r="L48" s="66"/>
      <c r="M48" s="82" t="s">
        <v>326</v>
      </c>
      <c r="N48" s="81"/>
      <c r="O48" s="9"/>
    </row>
    <row r="49" spans="2:18" ht="15" thickBot="1">
      <c r="B49" s="5"/>
      <c r="C49" s="83" t="s">
        <v>58</v>
      </c>
      <c r="D49" s="84"/>
      <c r="E49" s="84"/>
      <c r="F49" s="84"/>
      <c r="G49" s="85" t="str">
        <f>G48</f>
        <v>AAA(za)(sf)</v>
      </c>
      <c r="H49" s="86"/>
      <c r="I49" s="85" t="str">
        <f>I48</f>
        <v>AA+(za)(sf)</v>
      </c>
      <c r="J49" s="86"/>
      <c r="K49" s="85" t="str">
        <f>K48</f>
        <v>A-(za)(sf)</v>
      </c>
      <c r="L49" s="86"/>
      <c r="M49" s="85" t="str">
        <f>M48</f>
        <v>BBB(za)(sf)</v>
      </c>
      <c r="N49" s="87"/>
      <c r="O49" s="9"/>
    </row>
    <row r="50" spans="2:18" ht="15" thickBot="1">
      <c r="B50" s="5"/>
      <c r="C50" s="13"/>
      <c r="D50" s="13"/>
      <c r="E50" s="13"/>
      <c r="F50" s="13"/>
      <c r="G50" s="13"/>
      <c r="H50" s="13"/>
      <c r="I50" s="13"/>
      <c r="J50" s="13"/>
      <c r="K50" s="13"/>
      <c r="L50" s="13"/>
      <c r="M50" s="13"/>
      <c r="N50" s="13"/>
      <c r="O50" s="9"/>
    </row>
    <row r="51" spans="2:18">
      <c r="B51" s="5"/>
      <c r="C51" s="88" t="s">
        <v>59</v>
      </c>
      <c r="D51" s="89"/>
      <c r="E51" s="89"/>
      <c r="F51" s="89"/>
      <c r="G51" s="89"/>
      <c r="H51" s="89"/>
      <c r="I51" s="89"/>
      <c r="J51" s="89"/>
      <c r="K51" s="89"/>
      <c r="L51" s="89"/>
      <c r="M51" s="89"/>
      <c r="N51" s="90"/>
      <c r="O51" s="9"/>
    </row>
    <row r="52" spans="2:18">
      <c r="B52" s="5"/>
      <c r="C52" s="91" t="s">
        <v>60</v>
      </c>
      <c r="D52" s="92"/>
      <c r="E52" s="92"/>
      <c r="F52" s="92"/>
      <c r="G52" s="92"/>
      <c r="H52" s="92"/>
      <c r="I52" s="92"/>
      <c r="J52" s="92"/>
      <c r="K52" s="92"/>
      <c r="L52" s="92"/>
      <c r="M52" s="92"/>
      <c r="N52" s="93"/>
      <c r="O52" s="9"/>
    </row>
    <row r="53" spans="2:18">
      <c r="B53" s="5"/>
      <c r="C53" s="94" t="s">
        <v>61</v>
      </c>
      <c r="D53" s="95"/>
      <c r="E53" s="95"/>
      <c r="F53" s="95"/>
      <c r="G53" s="95"/>
      <c r="H53" s="95"/>
      <c r="I53" s="96"/>
      <c r="J53" s="97">
        <v>44061222.81492123</v>
      </c>
      <c r="K53" s="98"/>
      <c r="L53" s="98"/>
      <c r="M53" s="98"/>
      <c r="N53" s="99"/>
      <c r="O53" s="9"/>
      <c r="Q53" s="100"/>
      <c r="R53" s="101"/>
    </row>
    <row r="54" spans="2:18">
      <c r="B54" s="5"/>
      <c r="C54" s="41" t="s">
        <v>62</v>
      </c>
      <c r="D54" s="56"/>
      <c r="E54" s="56"/>
      <c r="F54" s="56"/>
      <c r="G54" s="56"/>
      <c r="H54" s="56"/>
      <c r="I54" s="102"/>
      <c r="J54" s="97">
        <v>25353380.424921222</v>
      </c>
      <c r="K54" s="98"/>
      <c r="L54" s="98"/>
      <c r="M54" s="98"/>
      <c r="N54" s="99"/>
      <c r="O54" s="9"/>
      <c r="R54" s="103"/>
    </row>
    <row r="55" spans="2:18">
      <c r="B55" s="5"/>
      <c r="C55" s="94" t="s">
        <v>63</v>
      </c>
      <c r="D55" s="95"/>
      <c r="E55" s="95"/>
      <c r="F55" s="95"/>
      <c r="G55" s="95"/>
      <c r="H55" s="95"/>
      <c r="I55" s="95"/>
      <c r="J55" s="104">
        <f>SUM(J56:M58)</f>
        <v>18707842.390000008</v>
      </c>
      <c r="K55" s="105"/>
      <c r="L55" s="105"/>
      <c r="M55" s="105"/>
      <c r="N55" s="106"/>
      <c r="O55" s="9"/>
      <c r="R55" s="103"/>
    </row>
    <row r="56" spans="2:18">
      <c r="B56" s="5"/>
      <c r="C56" s="79" t="s">
        <v>64</v>
      </c>
      <c r="D56" s="61"/>
      <c r="E56" s="61"/>
      <c r="F56" s="61"/>
      <c r="G56" s="61"/>
      <c r="H56" s="61"/>
      <c r="I56" s="61"/>
      <c r="J56" s="107">
        <f>J53-J54-J58</f>
        <v>3122342.390000008</v>
      </c>
      <c r="K56" s="108"/>
      <c r="L56" s="108"/>
      <c r="M56" s="108"/>
      <c r="N56" s="9"/>
      <c r="O56" s="9"/>
    </row>
    <row r="57" spans="2:18">
      <c r="B57" s="5"/>
      <c r="C57" s="79" t="s">
        <v>65</v>
      </c>
      <c r="D57" s="61"/>
      <c r="E57" s="61"/>
      <c r="F57" s="61"/>
      <c r="G57" s="61"/>
      <c r="H57" s="61"/>
      <c r="I57" s="61"/>
      <c r="J57" s="107">
        <v>0</v>
      </c>
      <c r="K57" s="108"/>
      <c r="L57" s="108"/>
      <c r="M57" s="108"/>
      <c r="N57" s="9"/>
      <c r="O57" s="9"/>
    </row>
    <row r="58" spans="2:18">
      <c r="B58" s="5"/>
      <c r="C58" s="79" t="s">
        <v>66</v>
      </c>
      <c r="D58" s="61"/>
      <c r="E58" s="61"/>
      <c r="F58" s="61"/>
      <c r="G58" s="61"/>
      <c r="H58" s="61"/>
      <c r="I58" s="61"/>
      <c r="J58" s="109">
        <v>15585500</v>
      </c>
      <c r="K58" s="110"/>
      <c r="L58" s="110"/>
      <c r="M58" s="110"/>
      <c r="N58" s="9"/>
      <c r="O58" s="9"/>
    </row>
    <row r="59" spans="2:18">
      <c r="B59" s="5"/>
      <c r="C59" s="91" t="s">
        <v>67</v>
      </c>
      <c r="D59" s="92"/>
      <c r="E59" s="92"/>
      <c r="F59" s="92"/>
      <c r="G59" s="92"/>
      <c r="H59" s="92"/>
      <c r="I59" s="92"/>
      <c r="J59" s="92"/>
      <c r="K59" s="92"/>
      <c r="L59" s="92"/>
      <c r="M59" s="92"/>
      <c r="N59" s="93"/>
      <c r="O59" s="9"/>
    </row>
    <row r="60" spans="2:18">
      <c r="B60" s="5"/>
      <c r="C60" s="94" t="s">
        <v>68</v>
      </c>
      <c r="D60" s="95"/>
      <c r="E60" s="95"/>
      <c r="F60" s="95"/>
      <c r="G60" s="95"/>
      <c r="H60" s="95"/>
      <c r="I60" s="95"/>
      <c r="J60" s="111">
        <f>SUM(J61:M62)</f>
        <v>0</v>
      </c>
      <c r="K60" s="112"/>
      <c r="L60" s="112"/>
      <c r="M60" s="112"/>
      <c r="N60" s="113"/>
      <c r="O60" s="9"/>
    </row>
    <row r="61" spans="2:18">
      <c r="B61" s="5"/>
      <c r="C61" s="79" t="s">
        <v>69</v>
      </c>
      <c r="D61" s="61"/>
      <c r="E61" s="61"/>
      <c r="F61" s="61"/>
      <c r="G61" s="61"/>
      <c r="H61" s="61"/>
      <c r="I61" s="61"/>
      <c r="J61" s="107">
        <v>0</v>
      </c>
      <c r="K61" s="108"/>
      <c r="L61" s="108"/>
      <c r="M61" s="108"/>
      <c r="N61" s="114"/>
      <c r="O61" s="9"/>
    </row>
    <row r="62" spans="2:18">
      <c r="B62" s="5"/>
      <c r="C62" s="79" t="s">
        <v>70</v>
      </c>
      <c r="D62" s="61"/>
      <c r="E62" s="61"/>
      <c r="F62" s="61"/>
      <c r="G62" s="61"/>
      <c r="H62" s="61"/>
      <c r="I62" s="61"/>
      <c r="J62" s="109">
        <v>0</v>
      </c>
      <c r="K62" s="110"/>
      <c r="L62" s="110"/>
      <c r="M62" s="110"/>
      <c r="N62" s="114"/>
      <c r="O62" s="9"/>
    </row>
    <row r="63" spans="2:18">
      <c r="B63" s="5"/>
      <c r="C63" s="94" t="s">
        <v>71</v>
      </c>
      <c r="D63" s="95"/>
      <c r="E63" s="95"/>
      <c r="F63" s="95"/>
      <c r="G63" s="95"/>
      <c r="H63" s="95"/>
      <c r="I63" s="96"/>
      <c r="J63" s="111">
        <f>SUM(J64:M65)</f>
        <v>502464.12999999989</v>
      </c>
      <c r="K63" s="112"/>
      <c r="L63" s="112"/>
      <c r="M63" s="112"/>
      <c r="N63" s="113"/>
      <c r="O63" s="9"/>
      <c r="R63" s="103"/>
    </row>
    <row r="64" spans="2:18">
      <c r="B64" s="5"/>
      <c r="C64" s="79" t="s">
        <v>72</v>
      </c>
      <c r="D64" s="61"/>
      <c r="E64" s="61"/>
      <c r="F64" s="61"/>
      <c r="G64" s="61"/>
      <c r="H64" s="61"/>
      <c r="I64" s="115"/>
      <c r="J64" s="107">
        <v>502464.12999999989</v>
      </c>
      <c r="K64" s="108"/>
      <c r="L64" s="108"/>
      <c r="M64" s="108"/>
      <c r="N64" s="114"/>
      <c r="O64" s="9"/>
    </row>
    <row r="65" spans="2:18">
      <c r="B65" s="5"/>
      <c r="C65" s="116" t="s">
        <v>73</v>
      </c>
      <c r="D65" s="117"/>
      <c r="E65" s="117"/>
      <c r="F65" s="117"/>
      <c r="G65" s="117"/>
      <c r="H65" s="117"/>
      <c r="I65" s="118"/>
      <c r="J65" s="119">
        <v>0</v>
      </c>
      <c r="K65" s="120"/>
      <c r="L65" s="120"/>
      <c r="M65" s="120"/>
      <c r="N65" s="114"/>
      <c r="O65" s="9"/>
    </row>
    <row r="66" spans="2:18">
      <c r="B66" s="5"/>
      <c r="C66" s="94" t="s">
        <v>74</v>
      </c>
      <c r="D66" s="95"/>
      <c r="E66" s="95"/>
      <c r="F66" s="95"/>
      <c r="G66" s="95"/>
      <c r="H66" s="95"/>
      <c r="I66" s="96"/>
      <c r="J66" s="111">
        <f>SUM(J67:M69,J72,J75:M78)</f>
        <v>64389294.520000003</v>
      </c>
      <c r="K66" s="112"/>
      <c r="L66" s="112"/>
      <c r="M66" s="112"/>
      <c r="N66" s="113"/>
      <c r="O66" s="9"/>
      <c r="R66" s="103"/>
    </row>
    <row r="67" spans="2:18">
      <c r="B67" s="5"/>
      <c r="C67" s="79" t="s">
        <v>75</v>
      </c>
      <c r="D67" s="61"/>
      <c r="E67" s="61"/>
      <c r="F67" s="61"/>
      <c r="G67" s="61"/>
      <c r="H67" s="61"/>
      <c r="I67" s="115"/>
      <c r="J67" s="107">
        <f>'Servicer Report'!J39</f>
        <v>6833327.5899999989</v>
      </c>
      <c r="K67" s="108"/>
      <c r="L67" s="108"/>
      <c r="M67" s="108"/>
      <c r="N67" s="121"/>
      <c r="O67" s="9"/>
    </row>
    <row r="68" spans="2:18">
      <c r="B68" s="5"/>
      <c r="C68" s="79" t="s">
        <v>76</v>
      </c>
      <c r="D68" s="61"/>
      <c r="E68" s="61"/>
      <c r="F68" s="61"/>
      <c r="G68" s="61"/>
      <c r="H68" s="61"/>
      <c r="I68" s="115"/>
      <c r="J68" s="107">
        <f>'Servicer Report'!J42</f>
        <v>26494927.43</v>
      </c>
      <c r="K68" s="108"/>
      <c r="L68" s="108"/>
      <c r="M68" s="108"/>
      <c r="N68" s="121"/>
      <c r="O68" s="9"/>
    </row>
    <row r="69" spans="2:18">
      <c r="B69" s="5"/>
      <c r="C69" s="79" t="s">
        <v>77</v>
      </c>
      <c r="D69" s="61"/>
      <c r="E69" s="61"/>
      <c r="F69" s="61"/>
      <c r="G69" s="61"/>
      <c r="H69" s="61"/>
      <c r="I69" s="115"/>
      <c r="J69" s="107">
        <f>SUM(J70:L71)</f>
        <v>0</v>
      </c>
      <c r="K69" s="108"/>
      <c r="L69" s="108"/>
      <c r="M69" s="108"/>
      <c r="N69" s="121"/>
      <c r="O69" s="9"/>
    </row>
    <row r="70" spans="2:18">
      <c r="B70" s="5"/>
      <c r="C70" s="122" t="s">
        <v>78</v>
      </c>
      <c r="D70" s="61"/>
      <c r="E70" s="61"/>
      <c r="F70" s="61"/>
      <c r="G70" s="61"/>
      <c r="H70" s="61"/>
      <c r="I70" s="115"/>
      <c r="J70" s="107">
        <v>0</v>
      </c>
      <c r="K70" s="108"/>
      <c r="L70" s="108"/>
      <c r="M70" s="123"/>
      <c r="N70" s="121"/>
      <c r="O70" s="9"/>
    </row>
    <row r="71" spans="2:18">
      <c r="B71" s="5"/>
      <c r="C71" s="122" t="s">
        <v>79</v>
      </c>
      <c r="D71" s="61"/>
      <c r="E71" s="61"/>
      <c r="F71" s="61"/>
      <c r="G71" s="61"/>
      <c r="H71" s="61"/>
      <c r="I71" s="115"/>
      <c r="J71" s="107">
        <v>0</v>
      </c>
      <c r="K71" s="108"/>
      <c r="L71" s="108"/>
      <c r="M71" s="123"/>
      <c r="N71" s="121"/>
      <c r="O71" s="9"/>
    </row>
    <row r="72" spans="2:18">
      <c r="B72" s="5"/>
      <c r="C72" s="79" t="s">
        <v>80</v>
      </c>
      <c r="D72" s="61"/>
      <c r="E72" s="61"/>
      <c r="F72" s="61"/>
      <c r="G72" s="61"/>
      <c r="H72" s="61"/>
      <c r="I72" s="115"/>
      <c r="J72" s="107">
        <f>SUM(J73:L74)</f>
        <v>0</v>
      </c>
      <c r="K72" s="108"/>
      <c r="L72" s="108"/>
      <c r="M72" s="108"/>
      <c r="N72" s="121"/>
      <c r="O72" s="9"/>
    </row>
    <row r="73" spans="2:18">
      <c r="B73" s="5"/>
      <c r="C73" s="122" t="s">
        <v>78</v>
      </c>
      <c r="D73" s="61"/>
      <c r="E73" s="61"/>
      <c r="F73" s="61"/>
      <c r="G73" s="61"/>
      <c r="H73" s="61"/>
      <c r="I73" s="115"/>
      <c r="J73" s="107">
        <v>0</v>
      </c>
      <c r="K73" s="108"/>
      <c r="L73" s="108"/>
      <c r="M73" s="123"/>
      <c r="N73" s="121"/>
      <c r="O73" s="9"/>
    </row>
    <row r="74" spans="2:18">
      <c r="B74" s="5"/>
      <c r="C74" s="122" t="s">
        <v>79</v>
      </c>
      <c r="D74" s="61"/>
      <c r="E74" s="61"/>
      <c r="F74" s="61"/>
      <c r="G74" s="61"/>
      <c r="H74" s="61"/>
      <c r="I74" s="115"/>
      <c r="J74" s="107">
        <v>0</v>
      </c>
      <c r="K74" s="108"/>
      <c r="L74" s="108"/>
      <c r="M74" s="123"/>
      <c r="N74" s="121"/>
      <c r="O74" s="9"/>
    </row>
    <row r="75" spans="2:18">
      <c r="B75" s="5"/>
      <c r="C75" s="79" t="s">
        <v>81</v>
      </c>
      <c r="D75" s="61"/>
      <c r="E75" s="61"/>
      <c r="F75" s="61"/>
      <c r="G75" s="61"/>
      <c r="H75" s="61"/>
      <c r="I75" s="115"/>
      <c r="J75" s="107">
        <f>'Servicer Report'!J46</f>
        <v>14562923.629999999</v>
      </c>
      <c r="K75" s="108"/>
      <c r="L75" s="108"/>
      <c r="M75" s="108"/>
      <c r="N75" s="121"/>
      <c r="O75" s="9"/>
    </row>
    <row r="76" spans="2:18">
      <c r="B76" s="5"/>
      <c r="C76" s="79" t="s">
        <v>82</v>
      </c>
      <c r="D76" s="61"/>
      <c r="E76" s="61"/>
      <c r="F76" s="61"/>
      <c r="G76" s="61"/>
      <c r="H76" s="61"/>
      <c r="I76" s="115"/>
      <c r="J76" s="107">
        <f>'Servicer Report'!J40</f>
        <v>16364509.410000004</v>
      </c>
      <c r="K76" s="108"/>
      <c r="L76" s="108"/>
      <c r="M76" s="108"/>
      <c r="N76" s="121"/>
      <c r="O76" s="9"/>
    </row>
    <row r="77" spans="2:18">
      <c r="B77" s="5"/>
      <c r="C77" s="79" t="s">
        <v>83</v>
      </c>
      <c r="D77" s="61"/>
      <c r="E77" s="61"/>
      <c r="F77" s="61"/>
      <c r="G77" s="61"/>
      <c r="H77" s="61"/>
      <c r="I77" s="115"/>
      <c r="J77" s="107">
        <f>'Servicer Report'!J41</f>
        <v>0</v>
      </c>
      <c r="K77" s="108"/>
      <c r="L77" s="108"/>
      <c r="M77" s="108"/>
      <c r="N77" s="121"/>
      <c r="O77" s="9"/>
    </row>
    <row r="78" spans="2:18">
      <c r="B78" s="5"/>
      <c r="C78" s="116" t="s">
        <v>84</v>
      </c>
      <c r="D78" s="117"/>
      <c r="E78" s="117"/>
      <c r="F78" s="117"/>
      <c r="G78" s="117"/>
      <c r="H78" s="117"/>
      <c r="I78" s="118"/>
      <c r="J78" s="109">
        <v>133606.46</v>
      </c>
      <c r="K78" s="110"/>
      <c r="L78" s="110"/>
      <c r="M78" s="110"/>
      <c r="N78" s="124"/>
      <c r="O78" s="9"/>
    </row>
    <row r="79" spans="2:18">
      <c r="B79" s="5"/>
      <c r="C79" s="125" t="s">
        <v>85</v>
      </c>
      <c r="D79" s="95"/>
      <c r="E79" s="95"/>
      <c r="F79" s="95"/>
      <c r="G79" s="95"/>
      <c r="H79" s="95"/>
      <c r="I79" s="96"/>
      <c r="J79" s="97">
        <f>0</f>
        <v>0</v>
      </c>
      <c r="K79" s="98"/>
      <c r="L79" s="98"/>
      <c r="M79" s="98"/>
      <c r="N79" s="99"/>
      <c r="O79" s="9"/>
    </row>
    <row r="80" spans="2:18">
      <c r="B80" s="5"/>
      <c r="C80" s="91" t="s">
        <v>86</v>
      </c>
      <c r="D80" s="92"/>
      <c r="E80" s="92"/>
      <c r="F80" s="92"/>
      <c r="G80" s="92"/>
      <c r="H80" s="92"/>
      <c r="I80" s="92"/>
      <c r="J80" s="92"/>
      <c r="K80" s="92"/>
      <c r="L80" s="92"/>
      <c r="M80" s="92"/>
      <c r="N80" s="93"/>
      <c r="O80" s="9"/>
    </row>
    <row r="81" spans="2:19">
      <c r="B81" s="5"/>
      <c r="C81" s="125" t="s">
        <v>87</v>
      </c>
      <c r="D81" s="95"/>
      <c r="E81" s="95"/>
      <c r="F81" s="95"/>
      <c r="G81" s="95"/>
      <c r="H81" s="95"/>
      <c r="I81" s="95"/>
      <c r="J81" s="104">
        <f>SUM(J82:M84,J87:M90)</f>
        <v>1611194.74</v>
      </c>
      <c r="K81" s="105"/>
      <c r="L81" s="105"/>
      <c r="M81" s="105"/>
      <c r="N81" s="106"/>
      <c r="O81" s="9"/>
      <c r="P81" s="101"/>
      <c r="Q81" s="126"/>
    </row>
    <row r="82" spans="2:19">
      <c r="B82" s="5"/>
      <c r="C82" s="79" t="s">
        <v>88</v>
      </c>
      <c r="D82" s="61"/>
      <c r="E82" s="61"/>
      <c r="F82" s="61"/>
      <c r="G82" s="61"/>
      <c r="H82" s="61"/>
      <c r="I82" s="61"/>
      <c r="J82" s="107">
        <v>0</v>
      </c>
      <c r="K82" s="108"/>
      <c r="L82" s="108"/>
      <c r="M82" s="108"/>
      <c r="N82" s="127"/>
      <c r="O82" s="9"/>
    </row>
    <row r="83" spans="2:19">
      <c r="B83" s="5"/>
      <c r="C83" s="79" t="s">
        <v>89</v>
      </c>
      <c r="D83" s="61"/>
      <c r="E83" s="61"/>
      <c r="F83" s="61"/>
      <c r="G83" s="61"/>
      <c r="H83" s="61"/>
      <c r="I83" s="61"/>
      <c r="J83" s="107">
        <v>0</v>
      </c>
      <c r="K83" s="108"/>
      <c r="L83" s="108"/>
      <c r="M83" s="108"/>
      <c r="N83" s="127"/>
      <c r="O83" s="9"/>
    </row>
    <row r="84" spans="2:19">
      <c r="B84" s="5"/>
      <c r="C84" s="79" t="s">
        <v>90</v>
      </c>
      <c r="D84" s="61"/>
      <c r="E84" s="61"/>
      <c r="F84" s="61"/>
      <c r="G84" s="61"/>
      <c r="H84" s="61"/>
      <c r="I84" s="61"/>
      <c r="J84" s="107">
        <f>SUM(J85:L86)</f>
        <v>0</v>
      </c>
      <c r="K84" s="108"/>
      <c r="L84" s="108"/>
      <c r="M84" s="108"/>
      <c r="N84" s="127"/>
      <c r="O84" s="9"/>
    </row>
    <row r="85" spans="2:19">
      <c r="B85" s="5"/>
      <c r="C85" s="122" t="s">
        <v>91</v>
      </c>
      <c r="D85" s="61"/>
      <c r="E85" s="61"/>
      <c r="F85" s="61"/>
      <c r="G85" s="61"/>
      <c r="H85" s="61"/>
      <c r="I85" s="61"/>
      <c r="J85" s="107">
        <v>0</v>
      </c>
      <c r="K85" s="108"/>
      <c r="L85" s="108"/>
      <c r="M85" s="128"/>
      <c r="N85" s="127"/>
      <c r="O85" s="9"/>
    </row>
    <row r="86" spans="2:19">
      <c r="B86" s="5"/>
      <c r="C86" s="122" t="s">
        <v>92</v>
      </c>
      <c r="D86" s="61"/>
      <c r="E86" s="61"/>
      <c r="F86" s="61"/>
      <c r="G86" s="61"/>
      <c r="H86" s="61"/>
      <c r="I86" s="61"/>
      <c r="J86" s="107">
        <v>0</v>
      </c>
      <c r="K86" s="108"/>
      <c r="L86" s="108"/>
      <c r="M86" s="129"/>
      <c r="N86" s="127"/>
      <c r="O86" s="9"/>
    </row>
    <row r="87" spans="2:19">
      <c r="B87" s="5"/>
      <c r="C87" s="79" t="s">
        <v>93</v>
      </c>
      <c r="D87" s="61"/>
      <c r="E87" s="61"/>
      <c r="F87" s="61"/>
      <c r="G87" s="61"/>
      <c r="H87" s="61"/>
      <c r="I87" s="61"/>
      <c r="J87" s="107">
        <f>'Servicer Report'!J30</f>
        <v>1611194.74</v>
      </c>
      <c r="K87" s="108"/>
      <c r="L87" s="108"/>
      <c r="M87" s="108"/>
      <c r="N87" s="127"/>
      <c r="O87" s="9"/>
    </row>
    <row r="88" spans="2:19">
      <c r="B88" s="5"/>
      <c r="C88" s="79" t="s">
        <v>94</v>
      </c>
      <c r="D88" s="61"/>
      <c r="E88" s="61"/>
      <c r="F88" s="61"/>
      <c r="G88" s="61"/>
      <c r="H88" s="61"/>
      <c r="I88" s="61"/>
      <c r="J88" s="107">
        <v>0</v>
      </c>
      <c r="K88" s="108"/>
      <c r="L88" s="108"/>
      <c r="M88" s="108"/>
      <c r="N88" s="127"/>
      <c r="O88" s="9"/>
    </row>
    <row r="89" spans="2:19">
      <c r="B89" s="5"/>
      <c r="C89" s="79" t="s">
        <v>95</v>
      </c>
      <c r="D89" s="61"/>
      <c r="E89" s="61"/>
      <c r="F89" s="61"/>
      <c r="G89" s="61"/>
      <c r="H89" s="61"/>
      <c r="I89" s="61"/>
      <c r="J89" s="107">
        <v>0</v>
      </c>
      <c r="K89" s="108"/>
      <c r="L89" s="108"/>
      <c r="M89" s="108"/>
      <c r="N89" s="127"/>
      <c r="O89" s="9"/>
    </row>
    <row r="90" spans="2:19">
      <c r="B90" s="5"/>
      <c r="C90" s="116" t="s">
        <v>96</v>
      </c>
      <c r="D90" s="117"/>
      <c r="E90" s="117"/>
      <c r="F90" s="117"/>
      <c r="G90" s="117"/>
      <c r="H90" s="117"/>
      <c r="I90" s="117"/>
      <c r="J90" s="109">
        <v>0</v>
      </c>
      <c r="K90" s="110"/>
      <c r="L90" s="110"/>
      <c r="M90" s="110"/>
      <c r="N90" s="130"/>
      <c r="O90" s="9"/>
    </row>
    <row r="91" spans="2:19">
      <c r="B91" s="5"/>
      <c r="C91" s="91" t="s">
        <v>97</v>
      </c>
      <c r="D91" s="92"/>
      <c r="E91" s="92"/>
      <c r="F91" s="92"/>
      <c r="G91" s="92"/>
      <c r="H91" s="92"/>
      <c r="I91" s="92"/>
      <c r="J91" s="92"/>
      <c r="K91" s="92"/>
      <c r="L91" s="92"/>
      <c r="M91" s="92"/>
      <c r="N91" s="93"/>
      <c r="O91" s="9"/>
    </row>
    <row r="92" spans="2:19">
      <c r="B92" s="5"/>
      <c r="C92" s="131" t="s">
        <v>98</v>
      </c>
      <c r="D92" s="61"/>
      <c r="E92" s="61"/>
      <c r="F92" s="61"/>
      <c r="G92" s="61"/>
      <c r="H92" s="61"/>
      <c r="I92" s="61"/>
      <c r="J92" s="104">
        <f>SUM(J93:M96)</f>
        <v>81988406.300000012</v>
      </c>
      <c r="K92" s="105"/>
      <c r="L92" s="105"/>
      <c r="M92" s="105"/>
      <c r="N92" s="106"/>
      <c r="O92" s="9"/>
      <c r="P92" s="100"/>
      <c r="Q92" s="103"/>
      <c r="S92" s="100">
        <v>23364055.559999999</v>
      </c>
    </row>
    <row r="93" spans="2:19">
      <c r="B93" s="5"/>
      <c r="C93" s="79" t="s">
        <v>99</v>
      </c>
      <c r="D93" s="61"/>
      <c r="E93" s="61"/>
      <c r="F93" s="61"/>
      <c r="G93" s="61"/>
      <c r="H93" s="61"/>
      <c r="I93" s="61"/>
      <c r="J93" s="107">
        <f>J56</f>
        <v>3122342.390000008</v>
      </c>
      <c r="K93" s="108"/>
      <c r="L93" s="108"/>
      <c r="M93" s="108"/>
      <c r="N93" s="9"/>
      <c r="O93" s="9"/>
      <c r="P93" s="101"/>
      <c r="Q93" s="103"/>
      <c r="S93" s="1">
        <v>208.07</v>
      </c>
    </row>
    <row r="94" spans="2:19">
      <c r="B94" s="5"/>
      <c r="C94" s="79" t="s">
        <v>100</v>
      </c>
      <c r="D94" s="61"/>
      <c r="E94" s="61"/>
      <c r="F94" s="61"/>
      <c r="G94" s="61"/>
      <c r="H94" s="61"/>
      <c r="I94" s="61"/>
      <c r="J94" s="107">
        <f>J60+J63+J66-J81</f>
        <v>63280563.910000004</v>
      </c>
      <c r="K94" s="108"/>
      <c r="L94" s="108"/>
      <c r="M94" s="108"/>
      <c r="N94" s="9"/>
      <c r="O94" s="9"/>
      <c r="Q94" s="103"/>
      <c r="S94" s="100">
        <f>SUM(S92:S93)</f>
        <v>23364263.629999999</v>
      </c>
    </row>
    <row r="95" spans="2:19">
      <c r="B95" s="5"/>
      <c r="C95" s="79" t="s">
        <v>65</v>
      </c>
      <c r="D95" s="61"/>
      <c r="E95" s="61"/>
      <c r="F95" s="61"/>
      <c r="G95" s="61"/>
      <c r="H95" s="61"/>
      <c r="I95" s="61"/>
      <c r="J95" s="107">
        <f>I201</f>
        <v>0</v>
      </c>
      <c r="K95" s="108"/>
      <c r="L95" s="108"/>
      <c r="M95" s="108"/>
      <c r="N95" s="9"/>
      <c r="O95" s="9"/>
      <c r="S95" s="101">
        <f>S94-J92</f>
        <v>-58624142.670000017</v>
      </c>
    </row>
    <row r="96" spans="2:19" ht="15" thickBot="1">
      <c r="B96" s="5"/>
      <c r="C96" s="132" t="s">
        <v>66</v>
      </c>
      <c r="D96" s="133"/>
      <c r="E96" s="133"/>
      <c r="F96" s="133"/>
      <c r="G96" s="133"/>
      <c r="H96" s="133"/>
      <c r="I96" s="133"/>
      <c r="J96" s="134">
        <v>15585500</v>
      </c>
      <c r="K96" s="135"/>
      <c r="L96" s="135"/>
      <c r="M96" s="135"/>
      <c r="N96" s="136"/>
      <c r="O96" s="9"/>
      <c r="Q96" s="103"/>
    </row>
    <row r="97" spans="2:19" ht="15" thickBot="1">
      <c r="B97" s="5"/>
      <c r="C97" s="137"/>
      <c r="D97" s="13"/>
      <c r="E97" s="13"/>
      <c r="F97" s="13"/>
      <c r="G97" s="13"/>
      <c r="H97" s="13"/>
      <c r="I97" s="13"/>
      <c r="J97" s="13"/>
      <c r="K97" s="13"/>
      <c r="L97" s="13"/>
      <c r="M97" s="13"/>
      <c r="N97" s="13"/>
      <c r="O97" s="9"/>
      <c r="P97" s="100"/>
      <c r="S97" s="101"/>
    </row>
    <row r="98" spans="2:19">
      <c r="B98" s="5"/>
      <c r="C98" s="88" t="s">
        <v>101</v>
      </c>
      <c r="D98" s="89"/>
      <c r="E98" s="89"/>
      <c r="F98" s="89"/>
      <c r="G98" s="89"/>
      <c r="H98" s="89"/>
      <c r="I98" s="89"/>
      <c r="J98" s="89"/>
      <c r="K98" s="89"/>
      <c r="L98" s="89"/>
      <c r="M98" s="89"/>
      <c r="N98" s="90"/>
      <c r="O98" s="9"/>
      <c r="P98" s="100"/>
    </row>
    <row r="99" spans="2:19">
      <c r="B99" s="5"/>
      <c r="C99" s="125" t="s">
        <v>102</v>
      </c>
      <c r="D99" s="138"/>
      <c r="E99" s="138"/>
      <c r="F99" s="138"/>
      <c r="G99" s="138"/>
      <c r="H99" s="138"/>
      <c r="I99" s="139"/>
      <c r="J99" s="104">
        <f>J100+J101+J102-J103+J104+J105</f>
        <v>46279983.909999996</v>
      </c>
      <c r="K99" s="105"/>
      <c r="L99" s="105"/>
      <c r="M99" s="105"/>
      <c r="N99" s="106"/>
      <c r="O99" s="9"/>
    </row>
    <row r="100" spans="2:19">
      <c r="B100" s="5"/>
      <c r="C100" s="79" t="s">
        <v>103</v>
      </c>
      <c r="D100" s="61"/>
      <c r="E100" s="61"/>
      <c r="F100" s="61"/>
      <c r="G100" s="61"/>
      <c r="H100" s="61"/>
      <c r="I100" s="115"/>
      <c r="J100" s="107">
        <f>J67+J68+J75</f>
        <v>47891178.649999999</v>
      </c>
      <c r="K100" s="108"/>
      <c r="L100" s="108"/>
      <c r="M100" s="108"/>
      <c r="N100" s="140"/>
      <c r="O100" s="9"/>
    </row>
    <row r="101" spans="2:19">
      <c r="B101" s="5"/>
      <c r="C101" s="79" t="s">
        <v>104</v>
      </c>
      <c r="D101" s="61"/>
      <c r="E101" s="61"/>
      <c r="F101" s="61"/>
      <c r="G101" s="61"/>
      <c r="H101" s="61"/>
      <c r="I101" s="115"/>
      <c r="J101" s="107">
        <v>0</v>
      </c>
      <c r="K101" s="108"/>
      <c r="L101" s="108"/>
      <c r="M101" s="108"/>
      <c r="N101" s="121"/>
      <c r="O101" s="9"/>
    </row>
    <row r="102" spans="2:19">
      <c r="B102" s="5"/>
      <c r="C102" s="79" t="s">
        <v>105</v>
      </c>
      <c r="D102" s="61"/>
      <c r="E102" s="61"/>
      <c r="F102" s="61"/>
      <c r="G102" s="61"/>
      <c r="H102" s="61"/>
      <c r="I102" s="115"/>
      <c r="J102" s="108">
        <v>0</v>
      </c>
      <c r="K102" s="108"/>
      <c r="L102" s="108"/>
      <c r="M102" s="108"/>
      <c r="N102" s="121"/>
      <c r="O102" s="9"/>
    </row>
    <row r="103" spans="2:19">
      <c r="B103" s="5"/>
      <c r="C103" s="79" t="s">
        <v>106</v>
      </c>
      <c r="D103" s="61"/>
      <c r="E103" s="61"/>
      <c r="F103" s="61"/>
      <c r="G103" s="61"/>
      <c r="H103" s="61"/>
      <c r="I103" s="115"/>
      <c r="J103" s="107">
        <f>'Servicer Report'!J30</f>
        <v>1611194.74</v>
      </c>
      <c r="K103" s="108"/>
      <c r="L103" s="108"/>
      <c r="M103" s="108"/>
      <c r="N103" s="121"/>
      <c r="O103" s="9"/>
    </row>
    <row r="104" spans="2:19">
      <c r="B104" s="5"/>
      <c r="C104" s="79" t="s">
        <v>107</v>
      </c>
      <c r="D104" s="61"/>
      <c r="E104" s="61"/>
      <c r="F104" s="61"/>
      <c r="G104" s="61"/>
      <c r="H104" s="61"/>
      <c r="I104" s="115"/>
      <c r="J104" s="107">
        <v>0</v>
      </c>
      <c r="K104" s="108"/>
      <c r="L104" s="108"/>
      <c r="M104" s="108"/>
      <c r="N104" s="121"/>
      <c r="O104" s="9"/>
    </row>
    <row r="105" spans="2:19" ht="15" thickBot="1">
      <c r="B105" s="5"/>
      <c r="C105" s="132" t="s">
        <v>108</v>
      </c>
      <c r="D105" s="133"/>
      <c r="E105" s="133"/>
      <c r="F105" s="133"/>
      <c r="G105" s="133"/>
      <c r="H105" s="133"/>
      <c r="I105" s="141"/>
      <c r="J105" s="142">
        <v>0</v>
      </c>
      <c r="K105" s="143"/>
      <c r="L105" s="143"/>
      <c r="M105" s="143"/>
      <c r="N105" s="144"/>
      <c r="O105" s="9"/>
    </row>
    <row r="106" spans="2:19" ht="15" thickBot="1">
      <c r="B106" s="5"/>
      <c r="C106" s="137"/>
      <c r="D106" s="13"/>
      <c r="E106" s="13"/>
      <c r="F106" s="13"/>
      <c r="G106" s="13"/>
      <c r="H106" s="13"/>
      <c r="I106" s="13"/>
      <c r="J106" s="145"/>
      <c r="K106" s="145"/>
      <c r="L106" s="145"/>
      <c r="M106" s="145"/>
      <c r="N106" s="146"/>
      <c r="O106" s="9"/>
    </row>
    <row r="107" spans="2:19">
      <c r="B107" s="5"/>
      <c r="C107" s="88" t="s">
        <v>109</v>
      </c>
      <c r="D107" s="89"/>
      <c r="E107" s="89"/>
      <c r="F107" s="89"/>
      <c r="G107" s="89"/>
      <c r="H107" s="89"/>
      <c r="I107" s="89"/>
      <c r="J107" s="89"/>
      <c r="K107" s="89"/>
      <c r="L107" s="89"/>
      <c r="M107" s="89"/>
      <c r="N107" s="90"/>
      <c r="O107" s="9"/>
    </row>
    <row r="108" spans="2:19">
      <c r="B108" s="5"/>
      <c r="C108" s="147" t="s">
        <v>110</v>
      </c>
      <c r="D108" s="23"/>
      <c r="E108" s="23"/>
      <c r="F108" s="23"/>
      <c r="G108" s="23"/>
      <c r="H108" s="24"/>
      <c r="I108" s="148">
        <f>J99</f>
        <v>46279983.909999996</v>
      </c>
      <c r="J108" s="149"/>
      <c r="K108" s="149"/>
      <c r="L108" s="149"/>
      <c r="M108" s="149"/>
      <c r="N108" s="150"/>
      <c r="O108" s="9"/>
    </row>
    <row r="109" spans="2:19">
      <c r="B109" s="5"/>
      <c r="C109" s="151" t="s">
        <v>111</v>
      </c>
      <c r="D109" s="38"/>
      <c r="E109" s="38"/>
      <c r="F109" s="38"/>
      <c r="G109" s="38"/>
      <c r="H109" s="42"/>
      <c r="I109" s="152">
        <f>I156</f>
        <v>68761583.456291407</v>
      </c>
      <c r="J109" s="153"/>
      <c r="K109" s="153"/>
      <c r="L109" s="153"/>
      <c r="M109" s="153"/>
      <c r="N109" s="154"/>
      <c r="O109" s="9"/>
    </row>
    <row r="110" spans="2:19" ht="15" thickBot="1">
      <c r="B110" s="5"/>
      <c r="C110" s="155" t="s">
        <v>112</v>
      </c>
      <c r="D110" s="50"/>
      <c r="E110" s="50"/>
      <c r="F110" s="50"/>
      <c r="G110" s="50"/>
      <c r="H110" s="156"/>
      <c r="I110" s="157">
        <f>MAX(I108-I109,0)</f>
        <v>0</v>
      </c>
      <c r="J110" s="158"/>
      <c r="K110" s="158"/>
      <c r="L110" s="158"/>
      <c r="M110" s="158"/>
      <c r="N110" s="159"/>
      <c r="O110" s="9"/>
    </row>
    <row r="111" spans="2:19" ht="15" thickBot="1">
      <c r="B111" s="5"/>
      <c r="C111" s="137"/>
      <c r="D111" s="13"/>
      <c r="E111" s="13"/>
      <c r="F111" s="13"/>
      <c r="G111" s="13"/>
      <c r="H111" s="13"/>
      <c r="I111" s="13"/>
      <c r="J111" s="145"/>
      <c r="K111" s="145"/>
      <c r="L111" s="145"/>
      <c r="M111" s="145"/>
      <c r="N111" s="146"/>
      <c r="O111" s="9"/>
    </row>
    <row r="112" spans="2:19">
      <c r="B112" s="5"/>
      <c r="C112" s="88" t="s">
        <v>113</v>
      </c>
      <c r="D112" s="89"/>
      <c r="E112" s="89"/>
      <c r="F112" s="89"/>
      <c r="G112" s="89"/>
      <c r="H112" s="89"/>
      <c r="I112" s="89"/>
      <c r="J112" s="89"/>
      <c r="K112" s="89"/>
      <c r="L112" s="89"/>
      <c r="M112" s="89"/>
      <c r="N112" s="90"/>
      <c r="O112" s="9"/>
    </row>
    <row r="113" spans="2:15">
      <c r="B113" s="5"/>
      <c r="C113" s="160"/>
      <c r="D113" s="161"/>
      <c r="E113" s="161"/>
      <c r="F113" s="161"/>
      <c r="G113" s="162" t="s">
        <v>114</v>
      </c>
      <c r="H113" s="163"/>
      <c r="I113" s="164" t="s">
        <v>115</v>
      </c>
      <c r="J113" s="165"/>
      <c r="K113" s="164" t="s">
        <v>116</v>
      </c>
      <c r="L113" s="165"/>
      <c r="M113" s="166" t="s">
        <v>117</v>
      </c>
      <c r="N113" s="167"/>
      <c r="O113" s="9"/>
    </row>
    <row r="114" spans="2:15">
      <c r="B114" s="5"/>
      <c r="C114" s="151" t="s">
        <v>118</v>
      </c>
      <c r="D114" s="56"/>
      <c r="E114" s="56"/>
      <c r="F114" s="56"/>
      <c r="G114" s="168">
        <v>0</v>
      </c>
      <c r="H114" s="169"/>
      <c r="I114" s="168">
        <v>0</v>
      </c>
      <c r="J114" s="169"/>
      <c r="K114" s="168" t="s">
        <v>119</v>
      </c>
      <c r="L114" s="169"/>
      <c r="M114" s="168" t="s">
        <v>119</v>
      </c>
      <c r="N114" s="170"/>
      <c r="O114" s="9"/>
    </row>
    <row r="115" spans="2:15" ht="15" thickBot="1">
      <c r="B115" s="5"/>
      <c r="C115" s="155" t="s">
        <v>120</v>
      </c>
      <c r="D115" s="133"/>
      <c r="E115" s="133"/>
      <c r="F115" s="133"/>
      <c r="G115" s="171">
        <v>0</v>
      </c>
      <c r="H115" s="172"/>
      <c r="I115" s="171">
        <v>0</v>
      </c>
      <c r="J115" s="172"/>
      <c r="K115" s="171" t="s">
        <v>119</v>
      </c>
      <c r="L115" s="172"/>
      <c r="M115" s="171" t="s">
        <v>119</v>
      </c>
      <c r="N115" s="173"/>
      <c r="O115" s="9"/>
    </row>
    <row r="116" spans="2:15" ht="15" thickBot="1">
      <c r="B116" s="5"/>
      <c r="C116" s="137"/>
      <c r="D116" s="13"/>
      <c r="E116" s="13"/>
      <c r="F116" s="13"/>
      <c r="G116" s="13"/>
      <c r="H116" s="13"/>
      <c r="I116" s="13"/>
      <c r="J116" s="13"/>
      <c r="K116" s="13"/>
      <c r="L116" s="13"/>
      <c r="M116" s="13"/>
      <c r="N116" s="13"/>
      <c r="O116" s="9"/>
    </row>
    <row r="117" spans="2:15">
      <c r="B117" s="5"/>
      <c r="C117" s="88" t="s">
        <v>121</v>
      </c>
      <c r="D117" s="89"/>
      <c r="E117" s="89"/>
      <c r="F117" s="89"/>
      <c r="G117" s="89"/>
      <c r="H117" s="89"/>
      <c r="I117" s="89"/>
      <c r="J117" s="89"/>
      <c r="K117" s="89"/>
      <c r="L117" s="89"/>
      <c r="M117" s="89"/>
      <c r="N117" s="90"/>
      <c r="O117" s="9"/>
    </row>
    <row r="118" spans="2:15">
      <c r="B118" s="5"/>
      <c r="C118" s="79" t="s">
        <v>122</v>
      </c>
      <c r="D118" s="61"/>
      <c r="E118" s="61"/>
      <c r="F118" s="61"/>
      <c r="G118" s="61"/>
      <c r="H118" s="61"/>
      <c r="I118" s="115"/>
      <c r="J118" s="174" t="s">
        <v>123</v>
      </c>
      <c r="K118" s="175"/>
      <c r="L118" s="175"/>
      <c r="M118" s="175"/>
      <c r="N118" s="176"/>
      <c r="O118" s="9"/>
    </row>
    <row r="119" spans="2:15">
      <c r="B119" s="5"/>
      <c r="C119" s="79" t="s">
        <v>124</v>
      </c>
      <c r="D119" s="61"/>
      <c r="E119" s="61"/>
      <c r="F119" s="61"/>
      <c r="G119" s="61"/>
      <c r="H119" s="61"/>
      <c r="I119" s="115"/>
      <c r="J119" s="174" t="s">
        <v>123</v>
      </c>
      <c r="K119" s="175"/>
      <c r="L119" s="175"/>
      <c r="M119" s="175"/>
      <c r="N119" s="176"/>
      <c r="O119" s="9"/>
    </row>
    <row r="120" spans="2:15">
      <c r="B120" s="5"/>
      <c r="C120" s="79" t="s">
        <v>125</v>
      </c>
      <c r="D120" s="61"/>
      <c r="E120" s="61"/>
      <c r="F120" s="61"/>
      <c r="G120" s="61"/>
      <c r="H120" s="61"/>
      <c r="I120" s="115"/>
      <c r="J120" s="174" t="s">
        <v>119</v>
      </c>
      <c r="K120" s="175"/>
      <c r="L120" s="175"/>
      <c r="M120" s="175"/>
      <c r="N120" s="176"/>
      <c r="O120" s="9"/>
    </row>
    <row r="121" spans="2:15">
      <c r="B121" s="5"/>
      <c r="C121" s="147" t="s">
        <v>126</v>
      </c>
      <c r="D121" s="117"/>
      <c r="E121" s="117"/>
      <c r="F121" s="117"/>
      <c r="G121" s="117"/>
      <c r="H121" s="117"/>
      <c r="I121" s="118"/>
      <c r="J121" s="177" t="s">
        <v>123</v>
      </c>
      <c r="K121" s="178"/>
      <c r="L121" s="178"/>
      <c r="M121" s="178"/>
      <c r="N121" s="179"/>
      <c r="O121" s="9"/>
    </row>
    <row r="122" spans="2:15">
      <c r="B122" s="5"/>
      <c r="C122" s="180" t="s">
        <v>127</v>
      </c>
      <c r="D122" s="95"/>
      <c r="E122" s="95"/>
      <c r="F122" s="95"/>
      <c r="G122" s="95"/>
      <c r="H122" s="95"/>
      <c r="I122" s="181"/>
      <c r="J122" s="182" t="s">
        <v>123</v>
      </c>
      <c r="K122" s="183"/>
      <c r="L122" s="183"/>
      <c r="M122" s="183"/>
      <c r="N122" s="184"/>
      <c r="O122" s="9"/>
    </row>
    <row r="123" spans="2:15">
      <c r="B123" s="5"/>
      <c r="C123" s="122" t="s">
        <v>128</v>
      </c>
      <c r="D123" s="61"/>
      <c r="E123" s="61"/>
      <c r="F123" s="61"/>
      <c r="G123" s="61"/>
      <c r="H123" s="61"/>
      <c r="I123" s="185"/>
      <c r="J123" s="186" t="s">
        <v>123</v>
      </c>
      <c r="K123" s="187"/>
      <c r="L123" s="187"/>
      <c r="M123" s="188"/>
      <c r="N123" s="189"/>
      <c r="O123" s="9"/>
    </row>
    <row r="124" spans="2:15">
      <c r="B124" s="5"/>
      <c r="C124" s="122" t="s">
        <v>129</v>
      </c>
      <c r="D124" s="61"/>
      <c r="E124" s="61"/>
      <c r="F124" s="61"/>
      <c r="G124" s="61"/>
      <c r="H124" s="61"/>
      <c r="I124" s="185"/>
      <c r="J124" s="190" t="s">
        <v>123</v>
      </c>
      <c r="K124" s="191"/>
      <c r="L124" s="191"/>
      <c r="M124" s="188"/>
      <c r="N124" s="189"/>
      <c r="O124" s="9"/>
    </row>
    <row r="125" spans="2:15">
      <c r="B125" s="5"/>
      <c r="C125" s="122" t="s">
        <v>130</v>
      </c>
      <c r="D125" s="61"/>
      <c r="E125" s="61"/>
      <c r="F125" s="61"/>
      <c r="G125" s="61"/>
      <c r="H125" s="61"/>
      <c r="I125" s="185"/>
      <c r="J125" s="190" t="s">
        <v>119</v>
      </c>
      <c r="K125" s="191"/>
      <c r="L125" s="191"/>
      <c r="M125" s="188"/>
      <c r="N125" s="189"/>
      <c r="O125" s="9"/>
    </row>
    <row r="126" spans="2:15">
      <c r="B126" s="5"/>
      <c r="C126" s="122" t="s">
        <v>131</v>
      </c>
      <c r="D126" s="61"/>
      <c r="E126" s="61"/>
      <c r="F126" s="61"/>
      <c r="G126" s="61"/>
      <c r="H126" s="61"/>
      <c r="I126" s="185"/>
      <c r="J126" s="190" t="s">
        <v>119</v>
      </c>
      <c r="K126" s="191"/>
      <c r="L126" s="191"/>
      <c r="M126" s="188"/>
      <c r="N126" s="189"/>
      <c r="O126" s="9"/>
    </row>
    <row r="127" spans="2:15">
      <c r="B127" s="5"/>
      <c r="C127" s="122" t="s">
        <v>132</v>
      </c>
      <c r="D127" s="61"/>
      <c r="E127" s="61"/>
      <c r="F127" s="61"/>
      <c r="G127" s="61"/>
      <c r="H127" s="61"/>
      <c r="I127" s="185"/>
      <c r="J127" s="190" t="s">
        <v>119</v>
      </c>
      <c r="K127" s="191"/>
      <c r="L127" s="191"/>
      <c r="M127" s="188"/>
      <c r="N127" s="189"/>
      <c r="O127" s="9"/>
    </row>
    <row r="128" spans="2:15">
      <c r="B128" s="5"/>
      <c r="C128" s="122" t="s">
        <v>133</v>
      </c>
      <c r="D128" s="61"/>
      <c r="E128" s="61"/>
      <c r="F128" s="61"/>
      <c r="G128" s="61"/>
      <c r="H128" s="61"/>
      <c r="I128" s="185"/>
      <c r="J128" s="190" t="s">
        <v>123</v>
      </c>
      <c r="K128" s="191"/>
      <c r="L128" s="191"/>
      <c r="M128" s="188"/>
      <c r="N128" s="189"/>
      <c r="O128" s="9"/>
    </row>
    <row r="129" spans="2:15">
      <c r="B129" s="5"/>
      <c r="C129" s="122" t="s">
        <v>134</v>
      </c>
      <c r="D129" s="61"/>
      <c r="E129" s="61"/>
      <c r="F129" s="61"/>
      <c r="G129" s="61"/>
      <c r="H129" s="61"/>
      <c r="I129" s="185"/>
      <c r="J129" s="190" t="s">
        <v>119</v>
      </c>
      <c r="K129" s="191"/>
      <c r="L129" s="191"/>
      <c r="M129" s="188"/>
      <c r="N129" s="189"/>
      <c r="O129" s="9"/>
    </row>
    <row r="130" spans="2:15">
      <c r="B130" s="5"/>
      <c r="C130" s="147" t="s">
        <v>135</v>
      </c>
      <c r="D130" s="117"/>
      <c r="E130" s="117"/>
      <c r="F130" s="117"/>
      <c r="G130" s="117"/>
      <c r="H130" s="117"/>
      <c r="I130" s="192"/>
      <c r="J130" s="177" t="s">
        <v>123</v>
      </c>
      <c r="K130" s="178"/>
      <c r="L130" s="178"/>
      <c r="M130" s="178"/>
      <c r="N130" s="179"/>
      <c r="O130" s="9"/>
    </row>
    <row r="131" spans="2:15">
      <c r="B131" s="5"/>
      <c r="C131" s="180" t="s">
        <v>136</v>
      </c>
      <c r="D131" s="95"/>
      <c r="E131" s="95"/>
      <c r="F131" s="95"/>
      <c r="G131" s="95"/>
      <c r="H131" s="95"/>
      <c r="I131" s="181"/>
      <c r="J131" s="174" t="s">
        <v>123</v>
      </c>
      <c r="K131" s="175"/>
      <c r="L131" s="175"/>
      <c r="M131" s="175"/>
      <c r="N131" s="184"/>
      <c r="O131" s="9"/>
    </row>
    <row r="132" spans="2:15" ht="15" thickBot="1">
      <c r="B132" s="5"/>
      <c r="C132" s="155" t="s">
        <v>137</v>
      </c>
      <c r="D132" s="133"/>
      <c r="E132" s="133"/>
      <c r="F132" s="133"/>
      <c r="G132" s="133"/>
      <c r="H132" s="133"/>
      <c r="I132" s="193"/>
      <c r="J132" s="177" t="s">
        <v>123</v>
      </c>
      <c r="K132" s="178"/>
      <c r="L132" s="178"/>
      <c r="M132" s="178"/>
      <c r="N132" s="179"/>
      <c r="O132" s="9"/>
    </row>
    <row r="133" spans="2:15" ht="15" thickBot="1">
      <c r="B133" s="5"/>
      <c r="C133" s="137"/>
      <c r="D133" s="13"/>
      <c r="E133" s="13"/>
      <c r="F133" s="13"/>
      <c r="G133" s="13"/>
      <c r="H133" s="13"/>
      <c r="I133" s="13"/>
      <c r="J133" s="13"/>
      <c r="K133" s="13"/>
      <c r="L133" s="13"/>
      <c r="M133" s="13"/>
      <c r="N133" s="13"/>
      <c r="O133" s="9"/>
    </row>
    <row r="134" spans="2:15">
      <c r="B134" s="5"/>
      <c r="C134" s="88" t="s">
        <v>138</v>
      </c>
      <c r="D134" s="89"/>
      <c r="E134" s="89"/>
      <c r="F134" s="89"/>
      <c r="G134" s="89"/>
      <c r="H134" s="89"/>
      <c r="I134" s="89"/>
      <c r="J134" s="89"/>
      <c r="K134" s="89"/>
      <c r="L134" s="89"/>
      <c r="M134" s="89"/>
      <c r="N134" s="90"/>
      <c r="O134" s="9"/>
    </row>
    <row r="135" spans="2:15" ht="45.75" customHeight="1">
      <c r="B135" s="5"/>
      <c r="C135" s="194" t="s">
        <v>139</v>
      </c>
      <c r="D135" s="195"/>
      <c r="E135" s="196"/>
      <c r="F135" s="197" t="s">
        <v>140</v>
      </c>
      <c r="G135" s="198"/>
      <c r="H135" s="199"/>
      <c r="I135" s="200" t="s">
        <v>141</v>
      </c>
      <c r="J135" s="201"/>
      <c r="K135" s="202"/>
      <c r="L135" s="197" t="s">
        <v>142</v>
      </c>
      <c r="M135" s="198"/>
      <c r="N135" s="203"/>
      <c r="O135" s="9"/>
    </row>
    <row r="136" spans="2:15">
      <c r="B136" s="5"/>
      <c r="C136" s="151" t="s">
        <v>143</v>
      </c>
      <c r="D136" s="56"/>
      <c r="E136" s="56"/>
      <c r="F136" s="204">
        <v>2258781.81</v>
      </c>
      <c r="G136" s="205"/>
      <c r="H136" s="205"/>
      <c r="I136" s="206">
        <f>J92</f>
        <v>81988406.300000012</v>
      </c>
      <c r="J136" s="207"/>
      <c r="K136" s="208"/>
      <c r="L136" s="205">
        <f>F136</f>
        <v>2258781.81</v>
      </c>
      <c r="M136" s="205"/>
      <c r="N136" s="209"/>
      <c r="O136" s="9"/>
    </row>
    <row r="137" spans="2:15">
      <c r="B137" s="5"/>
      <c r="C137" s="125" t="s">
        <v>144</v>
      </c>
      <c r="D137" s="95"/>
      <c r="E137" s="95"/>
      <c r="F137" s="204">
        <f>SUM(F138:G139)</f>
        <v>74175</v>
      </c>
      <c r="G137" s="205"/>
      <c r="H137" s="205"/>
      <c r="I137" s="204">
        <f>I136-L136</f>
        <v>79729624.49000001</v>
      </c>
      <c r="J137" s="205"/>
      <c r="K137" s="210"/>
      <c r="L137" s="205">
        <f>SUM(L138:M139)</f>
        <v>74175</v>
      </c>
      <c r="M137" s="205"/>
      <c r="N137" s="209"/>
      <c r="O137" s="9"/>
    </row>
    <row r="138" spans="2:15">
      <c r="B138" s="5"/>
      <c r="C138" s="79" t="s">
        <v>145</v>
      </c>
      <c r="D138" s="61"/>
      <c r="E138" s="61"/>
      <c r="F138" s="107">
        <f>SUM(7187.5,4312.5,2300)</f>
        <v>13800</v>
      </c>
      <c r="G138" s="108"/>
      <c r="H138" s="211"/>
      <c r="I138" s="107">
        <f>I137*F138/$F$137</f>
        <v>14833418.509767445</v>
      </c>
      <c r="J138" s="108"/>
      <c r="K138" s="212"/>
      <c r="L138" s="108">
        <f>F138</f>
        <v>13800</v>
      </c>
      <c r="M138" s="108"/>
      <c r="N138" s="213"/>
      <c r="O138" s="9"/>
    </row>
    <row r="139" spans="2:15">
      <c r="B139" s="5"/>
      <c r="C139" s="79" t="s">
        <v>146</v>
      </c>
      <c r="D139" s="61"/>
      <c r="E139" s="61"/>
      <c r="F139" s="107">
        <f>SUM(38812.5,4312.5,17250)</f>
        <v>60375</v>
      </c>
      <c r="G139" s="108"/>
      <c r="H139" s="214"/>
      <c r="I139" s="109">
        <f>I137*F139/$F$137</f>
        <v>64896205.980232574</v>
      </c>
      <c r="J139" s="110"/>
      <c r="K139" s="215"/>
      <c r="L139" s="110">
        <f>F139</f>
        <v>60375</v>
      </c>
      <c r="M139" s="110"/>
      <c r="N139" s="216"/>
      <c r="O139" s="9"/>
    </row>
    <row r="140" spans="2:15">
      <c r="B140" s="5"/>
      <c r="C140" s="125" t="s">
        <v>147</v>
      </c>
      <c r="D140" s="95"/>
      <c r="E140" s="95"/>
      <c r="F140" s="204">
        <f>SUM(F141:G142)</f>
        <v>260932.42</v>
      </c>
      <c r="G140" s="205"/>
      <c r="H140" s="205"/>
      <c r="I140" s="204">
        <f>I137-L137</f>
        <v>79655449.49000001</v>
      </c>
      <c r="J140" s="205"/>
      <c r="K140" s="210"/>
      <c r="L140" s="204">
        <f>SUM(L141:M142)</f>
        <v>260932.42</v>
      </c>
      <c r="M140" s="205"/>
      <c r="N140" s="209"/>
      <c r="O140" s="9"/>
    </row>
    <row r="141" spans="2:15">
      <c r="B141" s="5"/>
      <c r="C141" s="79" t="s">
        <v>148</v>
      </c>
      <c r="D141" s="61"/>
      <c r="E141" s="61"/>
      <c r="F141" s="107">
        <v>240</v>
      </c>
      <c r="G141" s="108"/>
      <c r="H141" s="211"/>
      <c r="I141" s="107">
        <f>$I$140*F141/$F$140</f>
        <v>73265.360730567714</v>
      </c>
      <c r="J141" s="108"/>
      <c r="K141" s="211"/>
      <c r="L141" s="107">
        <f>F141</f>
        <v>240</v>
      </c>
      <c r="M141" s="108"/>
      <c r="N141" s="213"/>
      <c r="O141" s="9"/>
    </row>
    <row r="142" spans="2:15">
      <c r="B142" s="5"/>
      <c r="C142" s="79" t="s">
        <v>149</v>
      </c>
      <c r="D142" s="61"/>
      <c r="E142" s="61"/>
      <c r="F142" s="107">
        <v>260692.42</v>
      </c>
      <c r="G142" s="108"/>
      <c r="H142" s="211"/>
      <c r="I142" s="109">
        <f>$I$140*F142/$F$140</f>
        <v>79582184.129269451</v>
      </c>
      <c r="J142" s="110"/>
      <c r="K142" s="214"/>
      <c r="L142" s="109">
        <f>F142</f>
        <v>260692.42</v>
      </c>
      <c r="M142" s="110"/>
      <c r="N142" s="216"/>
      <c r="O142" s="9"/>
    </row>
    <row r="143" spans="2:15">
      <c r="B143" s="5"/>
      <c r="C143" s="125" t="s">
        <v>150</v>
      </c>
      <c r="D143" s="95"/>
      <c r="E143" s="95"/>
      <c r="F143" s="204">
        <f>SUM(F144:G146)</f>
        <v>1804136.8122807709</v>
      </c>
      <c r="G143" s="205"/>
      <c r="H143" s="210"/>
      <c r="I143" s="204">
        <f>I140-L140</f>
        <v>79394517.070000008</v>
      </c>
      <c r="J143" s="205"/>
      <c r="K143" s="210"/>
      <c r="L143" s="204">
        <f>SUM(L144:M146)</f>
        <v>1804136.8122807709</v>
      </c>
      <c r="M143" s="205"/>
      <c r="N143" s="209"/>
      <c r="O143" s="9"/>
    </row>
    <row r="144" spans="2:15">
      <c r="B144" s="5"/>
      <c r="C144" s="79" t="s">
        <v>151</v>
      </c>
      <c r="D144" s="61"/>
      <c r="E144" s="61"/>
      <c r="F144" s="107">
        <v>1496772.5995532083</v>
      </c>
      <c r="G144" s="108"/>
      <c r="H144" s="212"/>
      <c r="I144" s="107">
        <f>$I$143*F144/$F$143</f>
        <v>65868362.585487537</v>
      </c>
      <c r="J144" s="108"/>
      <c r="K144" s="212"/>
      <c r="L144" s="107">
        <f>F144</f>
        <v>1496772.5995532083</v>
      </c>
      <c r="M144" s="108"/>
      <c r="N144" s="213"/>
      <c r="O144" s="9"/>
    </row>
    <row r="145" spans="2:15">
      <c r="B145" s="5"/>
      <c r="C145" s="79" t="s">
        <v>152</v>
      </c>
      <c r="D145" s="61"/>
      <c r="E145" s="61"/>
      <c r="F145" s="107">
        <v>129375</v>
      </c>
      <c r="G145" s="108"/>
      <c r="H145" s="212"/>
      <c r="I145" s="107">
        <f t="shared" ref="I145:I146" si="2">$I$143*F145/$F$143</f>
        <v>5693396.1859277841</v>
      </c>
      <c r="J145" s="108"/>
      <c r="K145" s="212"/>
      <c r="L145" s="107">
        <f>F145</f>
        <v>129375</v>
      </c>
      <c r="M145" s="108"/>
      <c r="N145" s="213"/>
      <c r="O145" s="9"/>
    </row>
    <row r="146" spans="2:15">
      <c r="B146" s="5"/>
      <c r="C146" s="79" t="s">
        <v>153</v>
      </c>
      <c r="D146" s="61"/>
      <c r="E146" s="61"/>
      <c r="F146" s="109">
        <v>177989.21272756252</v>
      </c>
      <c r="G146" s="110"/>
      <c r="H146" s="217"/>
      <c r="I146" s="109">
        <f t="shared" si="2"/>
        <v>7832758.2985846838</v>
      </c>
      <c r="J146" s="110"/>
      <c r="K146" s="217"/>
      <c r="L146" s="109">
        <f>F146</f>
        <v>177989.21272756252</v>
      </c>
      <c r="M146" s="110"/>
      <c r="N146" s="218"/>
      <c r="O146" s="9"/>
    </row>
    <row r="147" spans="2:15">
      <c r="B147" s="5"/>
      <c r="C147" s="151" t="s">
        <v>154</v>
      </c>
      <c r="D147" s="56"/>
      <c r="E147" s="56"/>
      <c r="F147" s="204">
        <v>133606.46</v>
      </c>
      <c r="G147" s="205"/>
      <c r="H147" s="205"/>
      <c r="I147" s="206">
        <f>I143-L143</f>
        <v>77590380.257719234</v>
      </c>
      <c r="J147" s="207"/>
      <c r="K147" s="208"/>
      <c r="L147" s="204">
        <f>F147</f>
        <v>133606.46</v>
      </c>
      <c r="M147" s="205"/>
      <c r="N147" s="209"/>
      <c r="O147" s="9"/>
    </row>
    <row r="148" spans="2:15">
      <c r="B148" s="5"/>
      <c r="C148" s="125" t="s">
        <v>155</v>
      </c>
      <c r="D148" s="95"/>
      <c r="E148" s="95"/>
      <c r="F148" s="204">
        <v>0</v>
      </c>
      <c r="G148" s="205"/>
      <c r="H148" s="205"/>
      <c r="I148" s="206">
        <f>I147-L147</f>
        <v>77456773.79771924</v>
      </c>
      <c r="J148" s="207"/>
      <c r="K148" s="208"/>
      <c r="L148" s="204">
        <f>F148</f>
        <v>0</v>
      </c>
      <c r="M148" s="205"/>
      <c r="N148" s="209"/>
      <c r="O148" s="9"/>
    </row>
    <row r="149" spans="2:15">
      <c r="B149" s="5"/>
      <c r="C149" s="125" t="s">
        <v>156</v>
      </c>
      <c r="D149" s="95"/>
      <c r="E149" s="95"/>
      <c r="F149" s="204">
        <f>SUM(F150:G152)</f>
        <v>7085986.8345785206</v>
      </c>
      <c r="G149" s="205"/>
      <c r="H149" s="210"/>
      <c r="I149" s="204">
        <f>I148-L148</f>
        <v>77456773.79771924</v>
      </c>
      <c r="J149" s="205"/>
      <c r="K149" s="210"/>
      <c r="L149" s="204">
        <f>SUM(L150:M152)</f>
        <v>7085986.8345785206</v>
      </c>
      <c r="M149" s="205"/>
      <c r="N149" s="209"/>
      <c r="O149" s="9"/>
    </row>
    <row r="150" spans="2:15">
      <c r="B150" s="5"/>
      <c r="C150" s="79" t="s">
        <v>157</v>
      </c>
      <c r="D150" s="61"/>
      <c r="E150" s="61"/>
      <c r="F150" s="107">
        <f>G36</f>
        <v>2504016.3140305756</v>
      </c>
      <c r="G150" s="108"/>
      <c r="H150" s="212"/>
      <c r="I150" s="107">
        <f>$I$149*F150/$F$149</f>
        <v>27371349.926195771</v>
      </c>
      <c r="J150" s="108"/>
      <c r="K150" s="212"/>
      <c r="L150" s="107">
        <f t="shared" ref="L150:L158" si="3">F150</f>
        <v>2504016.3140305756</v>
      </c>
      <c r="M150" s="108"/>
      <c r="N150" s="213"/>
      <c r="O150" s="9"/>
    </row>
    <row r="151" spans="2:15">
      <c r="B151" s="5"/>
      <c r="C151" s="79" t="s">
        <v>158</v>
      </c>
      <c r="D151" s="61"/>
      <c r="E151" s="61"/>
      <c r="F151" s="107">
        <f>I36</f>
        <v>4581970.5205479451</v>
      </c>
      <c r="G151" s="108"/>
      <c r="H151" s="212"/>
      <c r="I151" s="107">
        <f t="shared" ref="I151:I152" si="4">$I$149*F151/$F$149</f>
        <v>50085423.87152347</v>
      </c>
      <c r="J151" s="108"/>
      <c r="K151" s="212"/>
      <c r="L151" s="107">
        <f t="shared" si="3"/>
        <v>4581970.5205479451</v>
      </c>
      <c r="M151" s="108"/>
      <c r="N151" s="213"/>
      <c r="O151" s="9"/>
    </row>
    <row r="152" spans="2:15">
      <c r="B152" s="5"/>
      <c r="C152" s="116" t="s">
        <v>159</v>
      </c>
      <c r="D152" s="117"/>
      <c r="E152" s="117"/>
      <c r="F152" s="109">
        <v>0</v>
      </c>
      <c r="G152" s="110"/>
      <c r="H152" s="217"/>
      <c r="I152" s="109">
        <f t="shared" si="4"/>
        <v>0</v>
      </c>
      <c r="J152" s="110"/>
      <c r="K152" s="217"/>
      <c r="L152" s="109">
        <f t="shared" si="3"/>
        <v>0</v>
      </c>
      <c r="M152" s="110"/>
      <c r="N152" s="218"/>
      <c r="O152" s="9"/>
    </row>
    <row r="153" spans="2:15">
      <c r="B153" s="5"/>
      <c r="C153" s="151" t="s">
        <v>160</v>
      </c>
      <c r="D153" s="56"/>
      <c r="E153" s="56"/>
      <c r="F153" s="204">
        <f>K36</f>
        <v>1137672</v>
      </c>
      <c r="G153" s="205"/>
      <c r="H153" s="205"/>
      <c r="I153" s="206">
        <f>I149-L149</f>
        <v>70370786.963140726</v>
      </c>
      <c r="J153" s="207"/>
      <c r="K153" s="208"/>
      <c r="L153" s="204">
        <f t="shared" si="3"/>
        <v>1137672</v>
      </c>
      <c r="M153" s="205"/>
      <c r="N153" s="209"/>
      <c r="O153" s="9"/>
    </row>
    <row r="154" spans="2:15">
      <c r="B154" s="5"/>
      <c r="C154" s="151" t="s">
        <v>161</v>
      </c>
      <c r="D154" s="56"/>
      <c r="E154" s="56"/>
      <c r="F154" s="204">
        <f>M36</f>
        <v>471531.50684931513</v>
      </c>
      <c r="G154" s="205"/>
      <c r="H154" s="205"/>
      <c r="I154" s="206">
        <f>I153-L153</f>
        <v>69233114.963140726</v>
      </c>
      <c r="J154" s="207"/>
      <c r="K154" s="208"/>
      <c r="L154" s="204">
        <f t="shared" si="3"/>
        <v>471531.50684931513</v>
      </c>
      <c r="M154" s="205"/>
      <c r="N154" s="209"/>
      <c r="O154" s="9"/>
    </row>
    <row r="155" spans="2:15">
      <c r="B155" s="5"/>
      <c r="C155" s="151" t="s">
        <v>162</v>
      </c>
      <c r="D155" s="56"/>
      <c r="E155" s="56"/>
      <c r="F155" s="204">
        <v>0</v>
      </c>
      <c r="G155" s="205"/>
      <c r="H155" s="205"/>
      <c r="I155" s="206">
        <f>I154-L154</f>
        <v>68761583.456291407</v>
      </c>
      <c r="J155" s="207"/>
      <c r="K155" s="208"/>
      <c r="L155" s="204">
        <f t="shared" si="3"/>
        <v>0</v>
      </c>
      <c r="M155" s="205"/>
      <c r="N155" s="209"/>
      <c r="O155" s="9"/>
    </row>
    <row r="156" spans="2:15">
      <c r="B156" s="5"/>
      <c r="C156" s="151" t="s">
        <v>163</v>
      </c>
      <c r="D156" s="56"/>
      <c r="E156" s="56"/>
      <c r="F156" s="204">
        <v>0</v>
      </c>
      <c r="G156" s="205"/>
      <c r="H156" s="205"/>
      <c r="I156" s="206">
        <f>I155-L155</f>
        <v>68761583.456291407</v>
      </c>
      <c r="J156" s="207"/>
      <c r="K156" s="208"/>
      <c r="L156" s="204">
        <f t="shared" si="3"/>
        <v>0</v>
      </c>
      <c r="M156" s="205"/>
      <c r="N156" s="209"/>
      <c r="O156" s="9"/>
    </row>
    <row r="157" spans="2:15">
      <c r="B157" s="5"/>
      <c r="C157" s="151" t="s">
        <v>164</v>
      </c>
      <c r="D157" s="56"/>
      <c r="E157" s="56"/>
      <c r="F157" s="204">
        <v>0</v>
      </c>
      <c r="G157" s="205"/>
      <c r="H157" s="205"/>
      <c r="I157" s="206">
        <f>I156-L156</f>
        <v>68761583.456291407</v>
      </c>
      <c r="J157" s="207"/>
      <c r="K157" s="208"/>
      <c r="L157" s="204">
        <f t="shared" si="3"/>
        <v>0</v>
      </c>
      <c r="M157" s="205"/>
      <c r="N157" s="209"/>
      <c r="O157" s="9"/>
    </row>
    <row r="158" spans="2:15">
      <c r="B158" s="5"/>
      <c r="C158" s="151" t="s">
        <v>165</v>
      </c>
      <c r="D158" s="56"/>
      <c r="E158" s="56"/>
      <c r="F158" s="204">
        <f>I201</f>
        <v>0</v>
      </c>
      <c r="G158" s="205"/>
      <c r="H158" s="205"/>
      <c r="I158" s="206">
        <f>I154-L154</f>
        <v>68761583.456291407</v>
      </c>
      <c r="J158" s="207"/>
      <c r="K158" s="208"/>
      <c r="L158" s="204">
        <f t="shared" si="3"/>
        <v>0</v>
      </c>
      <c r="M158" s="205"/>
      <c r="N158" s="209"/>
      <c r="O158" s="9"/>
    </row>
    <row r="159" spans="2:15">
      <c r="B159" s="5"/>
      <c r="C159" s="125" t="s">
        <v>166</v>
      </c>
      <c r="D159" s="95"/>
      <c r="E159" s="95"/>
      <c r="F159" s="204">
        <f>SUM(F160,F164:G165)</f>
        <v>46279983.909999996</v>
      </c>
      <c r="G159" s="205"/>
      <c r="H159" s="205"/>
      <c r="I159" s="204">
        <f>I158-L158</f>
        <v>68761583.456291407</v>
      </c>
      <c r="J159" s="205"/>
      <c r="K159" s="210"/>
      <c r="L159" s="204">
        <f>SUM(L160,L164:M165)</f>
        <v>46279983.909999996</v>
      </c>
      <c r="M159" s="205"/>
      <c r="N159" s="209"/>
      <c r="O159" s="9"/>
    </row>
    <row r="160" spans="2:15">
      <c r="B160" s="5"/>
      <c r="C160" s="79" t="s">
        <v>167</v>
      </c>
      <c r="D160" s="61"/>
      <c r="E160" s="61"/>
      <c r="F160" s="107">
        <f>SUM(F161:G163)</f>
        <v>46279983.909999996</v>
      </c>
      <c r="G160" s="108"/>
      <c r="H160" s="219"/>
      <c r="I160" s="107">
        <f>F160/$F$159*I159</f>
        <v>68761583.456291407</v>
      </c>
      <c r="J160" s="108"/>
      <c r="K160" s="219"/>
      <c r="L160" s="107">
        <f t="shared" ref="L160:L167" si="5">F160</f>
        <v>46279983.909999996</v>
      </c>
      <c r="M160" s="108"/>
      <c r="N160" s="220"/>
      <c r="O160" s="9"/>
    </row>
    <row r="161" spans="2:15">
      <c r="B161" s="5"/>
      <c r="C161" s="122" t="s">
        <v>20</v>
      </c>
      <c r="D161" s="61"/>
      <c r="E161" s="61"/>
      <c r="F161" s="107">
        <f>J99</f>
        <v>46279983.909999996</v>
      </c>
      <c r="G161" s="108"/>
      <c r="H161" s="219"/>
      <c r="I161" s="107">
        <f>F161/$F$159*I159</f>
        <v>68761583.456291407</v>
      </c>
      <c r="J161" s="108"/>
      <c r="K161" s="219"/>
      <c r="L161" s="107">
        <f t="shared" si="5"/>
        <v>46279983.909999996</v>
      </c>
      <c r="M161" s="108"/>
      <c r="N161" s="220"/>
      <c r="O161" s="9"/>
    </row>
    <row r="162" spans="2:15">
      <c r="B162" s="5"/>
      <c r="C162" s="122" t="s">
        <v>21</v>
      </c>
      <c r="D162" s="61"/>
      <c r="E162" s="61"/>
      <c r="F162" s="107">
        <v>0</v>
      </c>
      <c r="G162" s="108"/>
      <c r="H162" s="219"/>
      <c r="I162" s="107">
        <f>F162/$F$159*I159</f>
        <v>0</v>
      </c>
      <c r="J162" s="108"/>
      <c r="K162" s="219"/>
      <c r="L162" s="107">
        <f t="shared" si="5"/>
        <v>0</v>
      </c>
      <c r="M162" s="108"/>
      <c r="N162" s="220"/>
      <c r="O162" s="9"/>
    </row>
    <row r="163" spans="2:15">
      <c r="B163" s="5"/>
      <c r="C163" s="122" t="s">
        <v>168</v>
      </c>
      <c r="D163" s="61"/>
      <c r="E163" s="61"/>
      <c r="F163" s="107">
        <v>0</v>
      </c>
      <c r="G163" s="108"/>
      <c r="H163" s="219"/>
      <c r="I163" s="107">
        <f>F163/$F$159*I159</f>
        <v>0</v>
      </c>
      <c r="J163" s="108"/>
      <c r="K163" s="219"/>
      <c r="L163" s="107">
        <f t="shared" si="5"/>
        <v>0</v>
      </c>
      <c r="M163" s="108"/>
      <c r="N163" s="220"/>
      <c r="O163" s="9"/>
    </row>
    <row r="164" spans="2:15">
      <c r="B164" s="5"/>
      <c r="C164" s="79" t="s">
        <v>169</v>
      </c>
      <c r="D164" s="61"/>
      <c r="E164" s="61"/>
      <c r="F164" s="107">
        <v>0</v>
      </c>
      <c r="G164" s="108"/>
      <c r="H164" s="219"/>
      <c r="I164" s="107">
        <f>F164/$F$159*I159</f>
        <v>0</v>
      </c>
      <c r="J164" s="108"/>
      <c r="K164" s="219"/>
      <c r="L164" s="107">
        <f t="shared" si="5"/>
        <v>0</v>
      </c>
      <c r="M164" s="108"/>
      <c r="N164" s="220"/>
      <c r="O164" s="9"/>
    </row>
    <row r="165" spans="2:15">
      <c r="B165" s="5"/>
      <c r="C165" s="116" t="s">
        <v>170</v>
      </c>
      <c r="D165" s="117"/>
      <c r="E165" s="117"/>
      <c r="F165" s="107">
        <v>0</v>
      </c>
      <c r="G165" s="108"/>
      <c r="H165" s="217"/>
      <c r="I165" s="109">
        <f>F165/$F$159*I159</f>
        <v>0</v>
      </c>
      <c r="J165" s="110"/>
      <c r="K165" s="217"/>
      <c r="L165" s="107">
        <f t="shared" si="5"/>
        <v>0</v>
      </c>
      <c r="M165" s="108"/>
      <c r="N165" s="218"/>
      <c r="O165" s="9"/>
    </row>
    <row r="166" spans="2:15">
      <c r="B166" s="5"/>
      <c r="C166" s="151" t="s">
        <v>171</v>
      </c>
      <c r="D166" s="56"/>
      <c r="E166" s="56"/>
      <c r="F166" s="204">
        <f>I192</f>
        <v>15585500</v>
      </c>
      <c r="G166" s="205"/>
      <c r="H166" s="205"/>
      <c r="I166" s="206">
        <f>I159-L159</f>
        <v>22481599.546291411</v>
      </c>
      <c r="J166" s="207"/>
      <c r="K166" s="208"/>
      <c r="L166" s="204">
        <f t="shared" si="5"/>
        <v>15585500</v>
      </c>
      <c r="M166" s="205"/>
      <c r="N166" s="209"/>
      <c r="O166" s="9"/>
    </row>
    <row r="167" spans="2:15">
      <c r="B167" s="5"/>
      <c r="C167" s="151" t="s">
        <v>172</v>
      </c>
      <c r="D167" s="56"/>
      <c r="E167" s="56"/>
      <c r="F167" s="204">
        <v>0</v>
      </c>
      <c r="G167" s="205"/>
      <c r="H167" s="205"/>
      <c r="I167" s="206">
        <f>I166-L166</f>
        <v>6896099.5462914109</v>
      </c>
      <c r="J167" s="207"/>
      <c r="K167" s="208"/>
      <c r="L167" s="204">
        <f t="shared" si="5"/>
        <v>0</v>
      </c>
      <c r="M167" s="205"/>
      <c r="N167" s="209"/>
      <c r="O167" s="9"/>
    </row>
    <row r="168" spans="2:15">
      <c r="B168" s="5"/>
      <c r="C168" s="125" t="s">
        <v>173</v>
      </c>
      <c r="D168" s="95"/>
      <c r="E168" s="95"/>
      <c r="F168" s="204">
        <f>SUM(F169:G170)</f>
        <v>0</v>
      </c>
      <c r="G168" s="205"/>
      <c r="H168" s="205"/>
      <c r="I168" s="204">
        <f>I167-L167</f>
        <v>6896099.5462914109</v>
      </c>
      <c r="J168" s="205"/>
      <c r="K168" s="210"/>
      <c r="L168" s="204">
        <f>SUM(L169:M170)</f>
        <v>0</v>
      </c>
      <c r="M168" s="205"/>
      <c r="N168" s="209"/>
      <c r="O168" s="9"/>
    </row>
    <row r="169" spans="2:15">
      <c r="B169" s="5"/>
      <c r="C169" s="79" t="s">
        <v>169</v>
      </c>
      <c r="D169" s="61"/>
      <c r="E169" s="61"/>
      <c r="F169" s="107">
        <v>0</v>
      </c>
      <c r="G169" s="108"/>
      <c r="H169" s="211"/>
      <c r="I169" s="221">
        <f>IFERROR(F169/$F$168*$I$168,0)</f>
        <v>0</v>
      </c>
      <c r="J169" s="222"/>
      <c r="K169" s="211"/>
      <c r="L169" s="107">
        <f>F169</f>
        <v>0</v>
      </c>
      <c r="M169" s="108"/>
      <c r="N169" s="213"/>
      <c r="O169" s="9"/>
    </row>
    <row r="170" spans="2:15">
      <c r="B170" s="5"/>
      <c r="C170" s="116" t="s">
        <v>170</v>
      </c>
      <c r="D170" s="117"/>
      <c r="E170" s="117"/>
      <c r="F170" s="107">
        <v>0</v>
      </c>
      <c r="G170" s="108"/>
      <c r="H170" s="211"/>
      <c r="I170" s="109">
        <f>IFERROR(F170/$F$168*$I$168,0)</f>
        <v>0</v>
      </c>
      <c r="J170" s="110"/>
      <c r="K170" s="211"/>
      <c r="L170" s="107">
        <f>F170</f>
        <v>0</v>
      </c>
      <c r="M170" s="108"/>
      <c r="N170" s="213"/>
      <c r="O170" s="9"/>
    </row>
    <row r="171" spans="2:15">
      <c r="B171" s="5"/>
      <c r="C171" s="151" t="s">
        <v>174</v>
      </c>
      <c r="D171" s="117"/>
      <c r="E171" s="117"/>
      <c r="F171" s="204">
        <v>0</v>
      </c>
      <c r="G171" s="205"/>
      <c r="H171" s="205"/>
      <c r="I171" s="206">
        <f>I168-L168</f>
        <v>6896099.5462914109</v>
      </c>
      <c r="J171" s="207"/>
      <c r="K171" s="208"/>
      <c r="L171" s="204">
        <f>F171</f>
        <v>0</v>
      </c>
      <c r="M171" s="205"/>
      <c r="N171" s="209"/>
      <c r="O171" s="9"/>
    </row>
    <row r="172" spans="2:15">
      <c r="B172" s="5"/>
      <c r="C172" s="151" t="s">
        <v>175</v>
      </c>
      <c r="D172" s="56"/>
      <c r="E172" s="56"/>
      <c r="F172" s="204">
        <v>0</v>
      </c>
      <c r="G172" s="205"/>
      <c r="H172" s="205"/>
      <c r="I172" s="206">
        <f>I171-L171</f>
        <v>6896099.5462914109</v>
      </c>
      <c r="J172" s="207"/>
      <c r="K172" s="208"/>
      <c r="L172" s="204">
        <f>F172</f>
        <v>0</v>
      </c>
      <c r="M172" s="205"/>
      <c r="N172" s="209"/>
      <c r="O172" s="9"/>
    </row>
    <row r="173" spans="2:15">
      <c r="B173" s="5"/>
      <c r="C173" s="125" t="s">
        <v>176</v>
      </c>
      <c r="D173" s="95"/>
      <c r="E173" s="95"/>
      <c r="F173" s="204">
        <f>SUM(F174:H174)</f>
        <v>0</v>
      </c>
      <c r="G173" s="205"/>
      <c r="H173" s="205"/>
      <c r="I173" s="204">
        <f>I172-L172</f>
        <v>6896099.5462914109</v>
      </c>
      <c r="J173" s="205"/>
      <c r="K173" s="210"/>
      <c r="L173" s="204">
        <f>SUM(L174)</f>
        <v>0</v>
      </c>
      <c r="M173" s="205"/>
      <c r="N173" s="209"/>
      <c r="O173" s="9"/>
    </row>
    <row r="174" spans="2:15">
      <c r="B174" s="5"/>
      <c r="C174" s="116" t="s">
        <v>170</v>
      </c>
      <c r="D174" s="117"/>
      <c r="E174" s="117"/>
      <c r="F174" s="107">
        <v>0</v>
      </c>
      <c r="G174" s="108"/>
      <c r="H174" s="211"/>
      <c r="I174" s="109">
        <f>I173</f>
        <v>6896099.5462914109</v>
      </c>
      <c r="J174" s="110"/>
      <c r="K174" s="211"/>
      <c r="L174" s="107">
        <f>F174</f>
        <v>0</v>
      </c>
      <c r="M174" s="108"/>
      <c r="N174" s="213"/>
      <c r="O174" s="9"/>
    </row>
    <row r="175" spans="2:15">
      <c r="B175" s="5"/>
      <c r="C175" s="151" t="s">
        <v>177</v>
      </c>
      <c r="D175" s="56"/>
      <c r="E175" s="56"/>
      <c r="F175" s="204">
        <v>0</v>
      </c>
      <c r="G175" s="205"/>
      <c r="H175" s="205"/>
      <c r="I175" s="206">
        <f>I173-L173</f>
        <v>6896099.5462914109</v>
      </c>
      <c r="J175" s="207"/>
      <c r="K175" s="208"/>
      <c r="L175" s="204">
        <f>F175</f>
        <v>0</v>
      </c>
      <c r="M175" s="205"/>
      <c r="N175" s="209"/>
      <c r="O175" s="9"/>
    </row>
    <row r="176" spans="2:15">
      <c r="B176" s="5"/>
      <c r="C176" s="151" t="s">
        <v>178</v>
      </c>
      <c r="D176" s="56"/>
      <c r="E176" s="56"/>
      <c r="F176" s="204">
        <v>0</v>
      </c>
      <c r="G176" s="205"/>
      <c r="H176" s="205"/>
      <c r="I176" s="206">
        <f>I175-L175</f>
        <v>6896099.5462914109</v>
      </c>
      <c r="J176" s="207"/>
      <c r="K176" s="208"/>
      <c r="L176" s="204">
        <f>F176</f>
        <v>0</v>
      </c>
      <c r="M176" s="205"/>
      <c r="N176" s="209"/>
      <c r="O176" s="9"/>
    </row>
    <row r="177" spans="2:15">
      <c r="B177" s="5"/>
      <c r="C177" s="151" t="s">
        <v>179</v>
      </c>
      <c r="D177" s="56"/>
      <c r="E177" s="56"/>
      <c r="F177" s="204">
        <v>0</v>
      </c>
      <c r="G177" s="205"/>
      <c r="H177" s="205"/>
      <c r="I177" s="206">
        <f>I176-L176</f>
        <v>6896099.5462914109</v>
      </c>
      <c r="J177" s="207"/>
      <c r="K177" s="208"/>
      <c r="L177" s="204">
        <f>F177</f>
        <v>0</v>
      </c>
      <c r="M177" s="205"/>
      <c r="N177" s="209"/>
      <c r="O177" s="9"/>
    </row>
    <row r="178" spans="2:15">
      <c r="B178" s="5"/>
      <c r="C178" s="125" t="s">
        <v>180</v>
      </c>
      <c r="D178" s="95"/>
      <c r="E178" s="95"/>
      <c r="F178" s="204">
        <f>SUM(F179:G181)</f>
        <v>2188638.1676499359</v>
      </c>
      <c r="G178" s="205"/>
      <c r="H178" s="205"/>
      <c r="I178" s="204">
        <f>I177-L177</f>
        <v>6896099.5462914109</v>
      </c>
      <c r="J178" s="205"/>
      <c r="K178" s="210"/>
      <c r="L178" s="204">
        <f>SUM(L179:M181)</f>
        <v>2188638.1676499359</v>
      </c>
      <c r="M178" s="205"/>
      <c r="N178" s="209"/>
      <c r="O178" s="9"/>
    </row>
    <row r="179" spans="2:15">
      <c r="B179" s="5"/>
      <c r="C179" s="79" t="s">
        <v>181</v>
      </c>
      <c r="D179" s="61"/>
      <c r="E179" s="61"/>
      <c r="F179" s="107">
        <f>I212</f>
        <v>2188638.1676499359</v>
      </c>
      <c r="G179" s="108"/>
      <c r="H179" s="211"/>
      <c r="I179" s="107">
        <f>F179/$F$178*I178</f>
        <v>6896099.5462914109</v>
      </c>
      <c r="J179" s="108"/>
      <c r="K179" s="211"/>
      <c r="L179" s="107">
        <f>F179</f>
        <v>2188638.1676499359</v>
      </c>
      <c r="M179" s="108"/>
      <c r="N179" s="213"/>
      <c r="O179" s="9"/>
    </row>
    <row r="180" spans="2:15">
      <c r="B180" s="5"/>
      <c r="C180" s="79" t="s">
        <v>182</v>
      </c>
      <c r="D180" s="61"/>
      <c r="E180" s="61"/>
      <c r="F180" s="107">
        <v>0</v>
      </c>
      <c r="G180" s="108"/>
      <c r="H180" s="211"/>
      <c r="I180" s="107">
        <f>F180/$F$178*I179</f>
        <v>0</v>
      </c>
      <c r="J180" s="108"/>
      <c r="K180" s="211"/>
      <c r="L180" s="107">
        <f>F180</f>
        <v>0</v>
      </c>
      <c r="M180" s="108"/>
      <c r="N180" s="213"/>
      <c r="O180" s="9"/>
    </row>
    <row r="181" spans="2:15">
      <c r="B181" s="5"/>
      <c r="C181" s="116" t="s">
        <v>183</v>
      </c>
      <c r="D181" s="117"/>
      <c r="E181" s="117"/>
      <c r="F181" s="107">
        <v>0</v>
      </c>
      <c r="G181" s="108"/>
      <c r="H181" s="211"/>
      <c r="I181" s="109">
        <f>F181/$F$178*I178</f>
        <v>0</v>
      </c>
      <c r="J181" s="110"/>
      <c r="K181" s="211"/>
      <c r="L181" s="107">
        <f>F181</f>
        <v>0</v>
      </c>
      <c r="M181" s="108"/>
      <c r="N181" s="213"/>
      <c r="O181" s="9"/>
    </row>
    <row r="182" spans="2:15">
      <c r="B182" s="5"/>
      <c r="C182" s="151" t="s">
        <v>184</v>
      </c>
      <c r="D182" s="56"/>
      <c r="E182" s="56"/>
      <c r="F182" s="204">
        <v>0</v>
      </c>
      <c r="G182" s="205"/>
      <c r="H182" s="205"/>
      <c r="I182" s="206">
        <f>I178-L178</f>
        <v>4707461.378641475</v>
      </c>
      <c r="J182" s="207"/>
      <c r="K182" s="208"/>
      <c r="L182" s="204">
        <f>F182</f>
        <v>0</v>
      </c>
      <c r="M182" s="205"/>
      <c r="N182" s="209"/>
      <c r="O182" s="9"/>
    </row>
    <row r="183" spans="2:15">
      <c r="B183" s="5"/>
      <c r="C183" s="151" t="s">
        <v>185</v>
      </c>
      <c r="D183" s="56"/>
      <c r="E183" s="56"/>
      <c r="F183" s="204">
        <f>4707461</f>
        <v>4707461</v>
      </c>
      <c r="G183" s="205"/>
      <c r="H183" s="205"/>
      <c r="I183" s="206">
        <f>I178-L178</f>
        <v>4707461.378641475</v>
      </c>
      <c r="J183" s="207"/>
      <c r="K183" s="208"/>
      <c r="L183" s="204">
        <f>F183</f>
        <v>4707461</v>
      </c>
      <c r="M183" s="205"/>
      <c r="N183" s="209"/>
      <c r="O183" s="9"/>
    </row>
    <row r="184" spans="2:15" ht="15" thickBot="1">
      <c r="B184" s="5"/>
      <c r="C184" s="223" t="s">
        <v>186</v>
      </c>
      <c r="D184" s="224"/>
      <c r="E184" s="225"/>
      <c r="F184" s="226">
        <f>SUM(F136,F137,F140,F143,F147,F148,F149,F153:H159,F166:H168,F171:H173,F175:H178,F182:H183)</f>
        <v>81988405.921358541</v>
      </c>
      <c r="G184" s="227"/>
      <c r="H184" s="228"/>
      <c r="I184" s="226">
        <f>I136</f>
        <v>81988406.300000012</v>
      </c>
      <c r="J184" s="227"/>
      <c r="K184" s="228"/>
      <c r="L184" s="226">
        <f>I184</f>
        <v>81988406.300000012</v>
      </c>
      <c r="M184" s="227"/>
      <c r="N184" s="229"/>
      <c r="O184" s="9"/>
    </row>
    <row r="185" spans="2:15" ht="15" thickBot="1">
      <c r="B185" s="5"/>
      <c r="C185" s="137"/>
      <c r="D185" s="13"/>
      <c r="E185" s="13"/>
      <c r="F185" s="13"/>
      <c r="G185" s="13"/>
      <c r="H185" s="13"/>
      <c r="I185" s="13"/>
      <c r="J185" s="13"/>
      <c r="K185" s="13"/>
      <c r="L185" s="13"/>
      <c r="M185" s="13"/>
      <c r="N185" s="13"/>
      <c r="O185" s="9"/>
    </row>
    <row r="186" spans="2:15">
      <c r="B186" s="5"/>
      <c r="C186" s="88" t="s">
        <v>187</v>
      </c>
      <c r="D186" s="89"/>
      <c r="E186" s="89"/>
      <c r="F186" s="89"/>
      <c r="G186" s="89"/>
      <c r="H186" s="89"/>
      <c r="I186" s="89"/>
      <c r="J186" s="89"/>
      <c r="K186" s="89"/>
      <c r="L186" s="89"/>
      <c r="M186" s="89"/>
      <c r="N186" s="90"/>
      <c r="O186" s="9"/>
    </row>
    <row r="187" spans="2:15">
      <c r="B187" s="5"/>
      <c r="C187" s="151" t="s">
        <v>188</v>
      </c>
      <c r="D187" s="230"/>
      <c r="E187" s="230"/>
      <c r="F187" s="230"/>
      <c r="G187" s="230"/>
      <c r="H187" s="231"/>
      <c r="I187" s="206">
        <f>SUM(202000000,309000000)*3.05%</f>
        <v>15585500</v>
      </c>
      <c r="J187" s="207"/>
      <c r="K187" s="207"/>
      <c r="L187" s="207"/>
      <c r="M187" s="207"/>
      <c r="N187" s="232"/>
      <c r="O187" s="9"/>
    </row>
    <row r="188" spans="2:15">
      <c r="B188" s="5"/>
      <c r="C188" s="151" t="s">
        <v>189</v>
      </c>
      <c r="D188" s="38"/>
      <c r="E188" s="38"/>
      <c r="F188" s="38"/>
      <c r="G188" s="38"/>
      <c r="H188" s="42"/>
      <c r="I188" s="206">
        <f>I187</f>
        <v>15585500</v>
      </c>
      <c r="J188" s="207"/>
      <c r="K188" s="207"/>
      <c r="L188" s="207"/>
      <c r="M188" s="207"/>
      <c r="N188" s="232"/>
      <c r="O188" s="9"/>
    </row>
    <row r="189" spans="2:15">
      <c r="B189" s="5"/>
      <c r="C189" s="41" t="s">
        <v>190</v>
      </c>
      <c r="D189" s="38"/>
      <c r="E189" s="38"/>
      <c r="F189" s="38"/>
      <c r="G189" s="38"/>
      <c r="H189" s="42"/>
      <c r="I189" s="206">
        <v>0</v>
      </c>
      <c r="J189" s="207"/>
      <c r="K189" s="207"/>
      <c r="L189" s="207"/>
      <c r="M189" s="207"/>
      <c r="N189" s="232"/>
      <c r="O189" s="9"/>
    </row>
    <row r="190" spans="2:15">
      <c r="B190" s="5"/>
      <c r="C190" s="41" t="s">
        <v>191</v>
      </c>
      <c r="D190" s="38"/>
      <c r="E190" s="38"/>
      <c r="F190" s="38"/>
      <c r="G190" s="38"/>
      <c r="H190" s="42"/>
      <c r="I190" s="206">
        <v>0</v>
      </c>
      <c r="J190" s="207"/>
      <c r="K190" s="207"/>
      <c r="L190" s="207"/>
      <c r="M190" s="207"/>
      <c r="N190" s="232"/>
      <c r="O190" s="9"/>
    </row>
    <row r="191" spans="2:15">
      <c r="B191" s="5"/>
      <c r="C191" s="41" t="s">
        <v>192</v>
      </c>
      <c r="D191" s="38"/>
      <c r="E191" s="38"/>
      <c r="F191" s="38"/>
      <c r="G191" s="38"/>
      <c r="H191" s="42"/>
      <c r="I191" s="206">
        <f>I189</f>
        <v>0</v>
      </c>
      <c r="J191" s="207"/>
      <c r="K191" s="207"/>
      <c r="L191" s="207"/>
      <c r="M191" s="207"/>
      <c r="N191" s="232"/>
      <c r="O191" s="9"/>
    </row>
    <row r="192" spans="2:15" ht="15" thickBot="1">
      <c r="B192" s="5"/>
      <c r="C192" s="49" t="s">
        <v>193</v>
      </c>
      <c r="D192" s="50"/>
      <c r="E192" s="50"/>
      <c r="F192" s="50"/>
      <c r="G192" s="50"/>
      <c r="H192" s="156"/>
      <c r="I192" s="134">
        <f>I187-I190+I191</f>
        <v>15585500</v>
      </c>
      <c r="J192" s="135"/>
      <c r="K192" s="135"/>
      <c r="L192" s="135"/>
      <c r="M192" s="135"/>
      <c r="N192" s="233"/>
      <c r="O192" s="9"/>
    </row>
    <row r="193" spans="2:15" ht="15" thickBot="1">
      <c r="B193" s="5"/>
      <c r="C193" s="13"/>
      <c r="D193" s="13"/>
      <c r="E193" s="13"/>
      <c r="F193" s="13"/>
      <c r="G193" s="13"/>
      <c r="H193" s="13"/>
      <c r="I193" s="13"/>
      <c r="J193" s="13"/>
      <c r="K193" s="13"/>
      <c r="L193" s="13"/>
      <c r="M193" s="13"/>
      <c r="N193" s="13"/>
      <c r="O193" s="9"/>
    </row>
    <row r="194" spans="2:15">
      <c r="B194" s="5"/>
      <c r="C194" s="234" t="s">
        <v>194</v>
      </c>
      <c r="D194" s="235"/>
      <c r="E194" s="235"/>
      <c r="F194" s="235"/>
      <c r="G194" s="235"/>
      <c r="H194" s="235"/>
      <c r="I194" s="235"/>
      <c r="J194" s="235"/>
      <c r="K194" s="235"/>
      <c r="L194" s="235"/>
      <c r="M194" s="235"/>
      <c r="N194" s="236"/>
      <c r="O194" s="9"/>
    </row>
    <row r="195" spans="2:15">
      <c r="B195" s="5"/>
      <c r="C195" s="151" t="s">
        <v>195</v>
      </c>
      <c r="D195" s="230"/>
      <c r="E195" s="230"/>
      <c r="F195" s="230"/>
      <c r="G195" s="230"/>
      <c r="H195" s="231"/>
      <c r="I195" s="237">
        <v>0</v>
      </c>
      <c r="J195" s="238"/>
      <c r="K195" s="238"/>
      <c r="L195" s="238"/>
      <c r="M195" s="238"/>
      <c r="N195" s="239"/>
      <c r="O195" s="9"/>
    </row>
    <row r="196" spans="2:15">
      <c r="B196" s="5"/>
      <c r="C196" s="151" t="s">
        <v>196</v>
      </c>
      <c r="D196" s="230"/>
      <c r="E196" s="230"/>
      <c r="F196" s="230"/>
      <c r="G196" s="230"/>
      <c r="H196" s="231"/>
      <c r="I196" s="240">
        <v>0</v>
      </c>
      <c r="J196" s="241"/>
      <c r="K196" s="241"/>
      <c r="L196" s="241"/>
      <c r="M196" s="241"/>
      <c r="N196" s="242"/>
      <c r="O196" s="9"/>
    </row>
    <row r="197" spans="2:15">
      <c r="B197" s="5"/>
      <c r="C197" s="151" t="s">
        <v>197</v>
      </c>
      <c r="D197" s="230"/>
      <c r="E197" s="230"/>
      <c r="F197" s="230"/>
      <c r="G197" s="230"/>
      <c r="H197" s="231"/>
      <c r="I197" s="206">
        <v>0</v>
      </c>
      <c r="J197" s="207"/>
      <c r="K197" s="207"/>
      <c r="L197" s="207"/>
      <c r="M197" s="207"/>
      <c r="N197" s="232"/>
      <c r="O197" s="9"/>
    </row>
    <row r="198" spans="2:15">
      <c r="B198" s="5"/>
      <c r="C198" s="151" t="s">
        <v>198</v>
      </c>
      <c r="D198" s="230"/>
      <c r="E198" s="230"/>
      <c r="F198" s="230"/>
      <c r="G198" s="230"/>
      <c r="H198" s="231"/>
      <c r="I198" s="206">
        <f>I195+I196-I197</f>
        <v>0</v>
      </c>
      <c r="J198" s="207"/>
      <c r="K198" s="207"/>
      <c r="L198" s="207"/>
      <c r="M198" s="207"/>
      <c r="N198" s="232"/>
      <c r="O198" s="9"/>
    </row>
    <row r="199" spans="2:15">
      <c r="B199" s="5"/>
      <c r="C199" s="151" t="s">
        <v>199</v>
      </c>
      <c r="D199" s="230"/>
      <c r="E199" s="230"/>
      <c r="F199" s="230"/>
      <c r="G199" s="230"/>
      <c r="H199" s="231"/>
      <c r="I199" s="206">
        <v>0</v>
      </c>
      <c r="J199" s="207"/>
      <c r="K199" s="207"/>
      <c r="L199" s="207"/>
      <c r="M199" s="207"/>
      <c r="N199" s="232"/>
      <c r="O199" s="9"/>
    </row>
    <row r="200" spans="2:15">
      <c r="B200" s="5"/>
      <c r="C200" s="151" t="s">
        <v>200</v>
      </c>
      <c r="D200" s="230"/>
      <c r="E200" s="230"/>
      <c r="F200" s="230"/>
      <c r="G200" s="230"/>
      <c r="H200" s="231"/>
      <c r="I200" s="237">
        <v>0</v>
      </c>
      <c r="J200" s="238"/>
      <c r="K200" s="238"/>
      <c r="L200" s="238"/>
      <c r="M200" s="238"/>
      <c r="N200" s="239"/>
      <c r="O200" s="9"/>
    </row>
    <row r="201" spans="2:15" ht="15" thickBot="1">
      <c r="B201" s="5"/>
      <c r="C201" s="243" t="s">
        <v>201</v>
      </c>
      <c r="D201" s="244"/>
      <c r="E201" s="244"/>
      <c r="F201" s="244"/>
      <c r="G201" s="244"/>
      <c r="H201" s="245"/>
      <c r="I201" s="246">
        <f>I198-I199+I200</f>
        <v>0</v>
      </c>
      <c r="J201" s="247"/>
      <c r="K201" s="247"/>
      <c r="L201" s="247"/>
      <c r="M201" s="247"/>
      <c r="N201" s="248"/>
      <c r="O201" s="9"/>
    </row>
    <row r="202" spans="2:15" ht="15" thickBot="1">
      <c r="B202" s="5"/>
      <c r="C202" s="249"/>
      <c r="D202" s="250"/>
      <c r="E202" s="250"/>
      <c r="F202" s="250"/>
      <c r="G202" s="250"/>
      <c r="H202" s="250"/>
      <c r="I202" s="251"/>
      <c r="J202" s="251"/>
      <c r="K202" s="251"/>
      <c r="L202" s="251"/>
      <c r="M202" s="251"/>
      <c r="N202" s="251"/>
      <c r="O202" s="9"/>
    </row>
    <row r="203" spans="2:15">
      <c r="B203" s="5"/>
      <c r="C203" s="234" t="s">
        <v>202</v>
      </c>
      <c r="D203" s="235"/>
      <c r="E203" s="235"/>
      <c r="F203" s="235"/>
      <c r="G203" s="235"/>
      <c r="H203" s="235"/>
      <c r="I203" s="235"/>
      <c r="J203" s="235"/>
      <c r="K203" s="235"/>
      <c r="L203" s="235"/>
      <c r="M203" s="235"/>
      <c r="N203" s="236"/>
      <c r="O203" s="9"/>
    </row>
    <row r="204" spans="2:15">
      <c r="B204" s="5"/>
      <c r="C204" s="46" t="s">
        <v>203</v>
      </c>
      <c r="D204" s="38"/>
      <c r="E204" s="230"/>
      <c r="F204" s="230"/>
      <c r="G204" s="230"/>
      <c r="H204" s="231"/>
      <c r="I204" s="252">
        <f>10%</f>
        <v>0.1</v>
      </c>
      <c r="J204" s="253"/>
      <c r="K204" s="253"/>
      <c r="L204" s="253"/>
      <c r="M204" s="253"/>
      <c r="N204" s="254"/>
      <c r="O204" s="9"/>
    </row>
    <row r="205" spans="2:15">
      <c r="B205" s="5"/>
      <c r="C205" s="41"/>
      <c r="D205" s="56"/>
      <c r="E205" s="198" t="s">
        <v>204</v>
      </c>
      <c r="F205" s="199"/>
      <c r="G205" s="57" t="s">
        <v>205</v>
      </c>
      <c r="H205" s="58"/>
      <c r="I205" s="57" t="s">
        <v>206</v>
      </c>
      <c r="J205" s="255"/>
      <c r="K205" s="58"/>
      <c r="L205" s="58" t="s">
        <v>207</v>
      </c>
      <c r="M205" s="256"/>
      <c r="N205" s="257"/>
      <c r="O205" s="9"/>
    </row>
    <row r="206" spans="2:15">
      <c r="B206" s="5"/>
      <c r="C206" s="22" t="s">
        <v>208</v>
      </c>
      <c r="D206" s="61"/>
      <c r="E206" s="258">
        <f>J14</f>
        <v>44515</v>
      </c>
      <c r="F206" s="259"/>
      <c r="G206" s="65">
        <f>G29</f>
        <v>3.6830000000000002E-2</v>
      </c>
      <c r="H206" s="66"/>
      <c r="I206" s="260">
        <v>63459650.914990246</v>
      </c>
      <c r="J206" s="261"/>
      <c r="K206" s="262"/>
      <c r="L206" s="260">
        <f>I206</f>
        <v>63459650.914990246</v>
      </c>
      <c r="M206" s="261"/>
      <c r="N206" s="263"/>
      <c r="O206" s="9"/>
    </row>
    <row r="207" spans="2:15">
      <c r="B207" s="5"/>
      <c r="C207" s="94" t="s">
        <v>209</v>
      </c>
      <c r="D207" s="264"/>
      <c r="E207" s="265"/>
      <c r="F207" s="266"/>
      <c r="G207" s="267"/>
      <c r="H207" s="268"/>
      <c r="I207" s="269">
        <f>SUM(I208:K210)</f>
        <v>0</v>
      </c>
      <c r="J207" s="270"/>
      <c r="K207" s="271"/>
      <c r="L207" s="272">
        <f>I207</f>
        <v>0</v>
      </c>
      <c r="M207" s="273"/>
      <c r="N207" s="274"/>
      <c r="O207" s="9"/>
    </row>
    <row r="208" spans="2:15">
      <c r="B208" s="5"/>
      <c r="C208" s="79" t="s">
        <v>210</v>
      </c>
      <c r="D208" s="61"/>
      <c r="E208" s="275"/>
      <c r="F208" s="276"/>
      <c r="G208" s="277"/>
      <c r="H208" s="278"/>
      <c r="I208" s="279"/>
      <c r="J208" s="280"/>
      <c r="K208" s="281"/>
      <c r="L208" s="282">
        <f>I208</f>
        <v>0</v>
      </c>
      <c r="M208" s="283"/>
      <c r="N208" s="284"/>
      <c r="O208" s="9"/>
    </row>
    <row r="209" spans="2:17">
      <c r="B209" s="5"/>
      <c r="C209" s="79" t="s">
        <v>211</v>
      </c>
      <c r="D209" s="61"/>
      <c r="E209" s="275"/>
      <c r="F209" s="276"/>
      <c r="G209" s="277"/>
      <c r="H209" s="278"/>
      <c r="I209" s="279"/>
      <c r="J209" s="280"/>
      <c r="K209" s="281"/>
      <c r="L209" s="282"/>
      <c r="M209" s="283"/>
      <c r="N209" s="284"/>
      <c r="O209" s="9"/>
    </row>
    <row r="210" spans="2:17">
      <c r="B210" s="5"/>
      <c r="C210" s="79" t="s">
        <v>212</v>
      </c>
      <c r="D210" s="117"/>
      <c r="E210" s="285"/>
      <c r="F210" s="286"/>
      <c r="G210" s="287"/>
      <c r="H210" s="288"/>
      <c r="I210" s="289"/>
      <c r="J210" s="290"/>
      <c r="K210" s="291"/>
      <c r="L210" s="282"/>
      <c r="M210" s="283"/>
      <c r="N210" s="284"/>
      <c r="O210" s="9"/>
    </row>
    <row r="211" spans="2:17">
      <c r="B211" s="5"/>
      <c r="C211" s="94" t="s">
        <v>213</v>
      </c>
      <c r="D211" s="264"/>
      <c r="E211" s="255"/>
      <c r="F211" s="255"/>
      <c r="G211" s="292"/>
      <c r="H211" s="293"/>
      <c r="I211" s="260">
        <f>L206+L207</f>
        <v>63459650.914990246</v>
      </c>
      <c r="J211" s="261"/>
      <c r="K211" s="261"/>
      <c r="L211" s="261"/>
      <c r="M211" s="261"/>
      <c r="N211" s="263"/>
      <c r="O211" s="9"/>
    </row>
    <row r="212" spans="2:17">
      <c r="B212" s="5"/>
      <c r="C212" s="125" t="s">
        <v>214</v>
      </c>
      <c r="D212" s="138"/>
      <c r="E212" s="138"/>
      <c r="F212" s="138"/>
      <c r="G212" s="138"/>
      <c r="H212" s="139"/>
      <c r="I212" s="260">
        <f>I206*(G206+$I$204)*92/365+I208*(G208+$I$204)*91/365</f>
        <v>2188638.1676499359</v>
      </c>
      <c r="J212" s="261"/>
      <c r="K212" s="261"/>
      <c r="L212" s="261"/>
      <c r="M212" s="261"/>
      <c r="N212" s="263"/>
      <c r="O212" s="9"/>
      <c r="P212" s="294"/>
      <c r="Q212" s="101"/>
    </row>
    <row r="213" spans="2:17">
      <c r="B213" s="5"/>
      <c r="C213" s="125" t="s">
        <v>215</v>
      </c>
      <c r="D213" s="138"/>
      <c r="E213" s="138"/>
      <c r="F213" s="138"/>
      <c r="G213" s="138"/>
      <c r="H213" s="139"/>
      <c r="I213" s="260">
        <v>0</v>
      </c>
      <c r="J213" s="261"/>
      <c r="K213" s="261"/>
      <c r="L213" s="261"/>
      <c r="M213" s="261"/>
      <c r="N213" s="263"/>
      <c r="O213" s="9"/>
    </row>
    <row r="214" spans="2:17">
      <c r="B214" s="5"/>
      <c r="C214" s="151" t="s">
        <v>216</v>
      </c>
      <c r="D214" s="230"/>
      <c r="E214" s="230"/>
      <c r="F214" s="230"/>
      <c r="G214" s="230"/>
      <c r="H214" s="231"/>
      <c r="I214" s="260">
        <f>L179</f>
        <v>2188638.1676499359</v>
      </c>
      <c r="J214" s="261"/>
      <c r="K214" s="261"/>
      <c r="L214" s="261"/>
      <c r="M214" s="261"/>
      <c r="N214" s="263"/>
      <c r="O214" s="9"/>
    </row>
    <row r="215" spans="2:17">
      <c r="B215" s="5"/>
      <c r="C215" s="151" t="s">
        <v>217</v>
      </c>
      <c r="D215" s="230"/>
      <c r="E215" s="230"/>
      <c r="F215" s="230"/>
      <c r="G215" s="230"/>
      <c r="H215" s="231"/>
      <c r="I215" s="260">
        <f>I212-I214</f>
        <v>0</v>
      </c>
      <c r="J215" s="261"/>
      <c r="K215" s="261"/>
      <c r="L215" s="261"/>
      <c r="M215" s="261"/>
      <c r="N215" s="263"/>
      <c r="O215" s="9"/>
    </row>
    <row r="216" spans="2:17">
      <c r="B216" s="5"/>
      <c r="C216" s="151" t="s">
        <v>218</v>
      </c>
      <c r="D216" s="230"/>
      <c r="E216" s="230"/>
      <c r="F216" s="230"/>
      <c r="G216" s="230"/>
      <c r="H216" s="231"/>
      <c r="I216" s="260">
        <f>F180</f>
        <v>0</v>
      </c>
      <c r="J216" s="261"/>
      <c r="K216" s="261"/>
      <c r="L216" s="261"/>
      <c r="M216" s="261"/>
      <c r="N216" s="263"/>
      <c r="O216" s="9"/>
    </row>
    <row r="217" spans="2:17">
      <c r="B217" s="5"/>
      <c r="C217" s="151" t="s">
        <v>219</v>
      </c>
      <c r="D217" s="230"/>
      <c r="E217" s="230"/>
      <c r="F217" s="230"/>
      <c r="G217" s="230"/>
      <c r="H217" s="231"/>
      <c r="I217" s="260">
        <v>0</v>
      </c>
      <c r="J217" s="261"/>
      <c r="K217" s="261"/>
      <c r="L217" s="261"/>
      <c r="M217" s="261"/>
      <c r="N217" s="263"/>
      <c r="O217" s="9"/>
    </row>
    <row r="218" spans="2:17" ht="15" thickBot="1">
      <c r="B218" s="5"/>
      <c r="C218" s="155" t="s">
        <v>220</v>
      </c>
      <c r="D218" s="295"/>
      <c r="E218" s="295"/>
      <c r="F218" s="295"/>
      <c r="G218" s="295"/>
      <c r="H218" s="296"/>
      <c r="I218" s="297">
        <f>I211+I215-I216</f>
        <v>63459650.914990246</v>
      </c>
      <c r="J218" s="298"/>
      <c r="K218" s="298"/>
      <c r="L218" s="298"/>
      <c r="M218" s="298"/>
      <c r="N218" s="299"/>
      <c r="O218" s="9"/>
    </row>
    <row r="219" spans="2:17" ht="15" thickBot="1">
      <c r="B219" s="300"/>
      <c r="C219" s="301"/>
      <c r="D219" s="301"/>
      <c r="E219" s="301"/>
      <c r="F219" s="301"/>
      <c r="G219" s="301"/>
      <c r="H219" s="301"/>
      <c r="I219" s="301"/>
      <c r="J219" s="301"/>
      <c r="K219" s="301"/>
      <c r="L219" s="301"/>
      <c r="M219" s="301"/>
      <c r="N219" s="301"/>
      <c r="O219" s="136"/>
    </row>
    <row r="226" spans="12:13">
      <c r="L226" s="302"/>
    </row>
    <row r="227" spans="12:13">
      <c r="M227" s="103"/>
    </row>
    <row r="228" spans="12:13">
      <c r="M228" s="303"/>
    </row>
    <row r="229" spans="12:13">
      <c r="M229" s="304"/>
    </row>
    <row r="230" spans="12:13">
      <c r="L230" s="302"/>
    </row>
    <row r="231" spans="12:13">
      <c r="M231" s="305"/>
    </row>
    <row r="232" spans="12:13">
      <c r="M232" s="103"/>
    </row>
    <row r="233" spans="12:13">
      <c r="M233" s="103"/>
    </row>
    <row r="234" spans="12:13">
      <c r="M234" s="304"/>
    </row>
  </sheetData>
  <mergeCells count="415">
    <mergeCell ref="I218:N218"/>
    <mergeCell ref="I212:N212"/>
    <mergeCell ref="I213:N213"/>
    <mergeCell ref="I214:N214"/>
    <mergeCell ref="I215:N215"/>
    <mergeCell ref="I216:N216"/>
    <mergeCell ref="I217:N217"/>
    <mergeCell ref="E210:F210"/>
    <mergeCell ref="G210:H210"/>
    <mergeCell ref="I210:K210"/>
    <mergeCell ref="L210:N210"/>
    <mergeCell ref="E211:F211"/>
    <mergeCell ref="I211:N211"/>
    <mergeCell ref="E208:F208"/>
    <mergeCell ref="G208:H208"/>
    <mergeCell ref="I208:K208"/>
    <mergeCell ref="L208:N208"/>
    <mergeCell ref="E209:F209"/>
    <mergeCell ref="G209:H209"/>
    <mergeCell ref="I209:K209"/>
    <mergeCell ref="L209:N209"/>
    <mergeCell ref="E206:F206"/>
    <mergeCell ref="G206:H206"/>
    <mergeCell ref="I206:K206"/>
    <mergeCell ref="L206:N206"/>
    <mergeCell ref="E207:F207"/>
    <mergeCell ref="G207:H207"/>
    <mergeCell ref="I207:K207"/>
    <mergeCell ref="L207:N207"/>
    <mergeCell ref="C203:N203"/>
    <mergeCell ref="I204:N204"/>
    <mergeCell ref="E205:F205"/>
    <mergeCell ref="G205:H205"/>
    <mergeCell ref="I205:K205"/>
    <mergeCell ref="L205:N205"/>
    <mergeCell ref="I196:N196"/>
    <mergeCell ref="I197:N197"/>
    <mergeCell ref="I198:N198"/>
    <mergeCell ref="I199:N199"/>
    <mergeCell ref="I200:N200"/>
    <mergeCell ref="I201:N201"/>
    <mergeCell ref="I189:N189"/>
    <mergeCell ref="I190:N190"/>
    <mergeCell ref="I191:N191"/>
    <mergeCell ref="I192:N192"/>
    <mergeCell ref="C194:N194"/>
    <mergeCell ref="I195:N195"/>
    <mergeCell ref="F184:H184"/>
    <mergeCell ref="I184:K184"/>
    <mergeCell ref="L184:N184"/>
    <mergeCell ref="C186:N186"/>
    <mergeCell ref="I187:N187"/>
    <mergeCell ref="I188:N188"/>
    <mergeCell ref="F182:H182"/>
    <mergeCell ref="I182:K182"/>
    <mergeCell ref="L182:N182"/>
    <mergeCell ref="F183:H183"/>
    <mergeCell ref="I183:K183"/>
    <mergeCell ref="L183:N183"/>
    <mergeCell ref="F180:G180"/>
    <mergeCell ref="I180:J180"/>
    <mergeCell ref="L180:M180"/>
    <mergeCell ref="F181:G181"/>
    <mergeCell ref="I181:J181"/>
    <mergeCell ref="L181:M181"/>
    <mergeCell ref="F178:H178"/>
    <mergeCell ref="I178:K178"/>
    <mergeCell ref="L178:N178"/>
    <mergeCell ref="F179:G179"/>
    <mergeCell ref="I179:J179"/>
    <mergeCell ref="L179:M179"/>
    <mergeCell ref="F176:H176"/>
    <mergeCell ref="I176:K176"/>
    <mergeCell ref="L176:N176"/>
    <mergeCell ref="F177:H177"/>
    <mergeCell ref="I177:K177"/>
    <mergeCell ref="L177:N177"/>
    <mergeCell ref="F174:G174"/>
    <mergeCell ref="I174:J174"/>
    <mergeCell ref="L174:M174"/>
    <mergeCell ref="F175:H175"/>
    <mergeCell ref="I175:K175"/>
    <mergeCell ref="L175:N175"/>
    <mergeCell ref="F172:H172"/>
    <mergeCell ref="I172:K172"/>
    <mergeCell ref="L172:N172"/>
    <mergeCell ref="F173:H173"/>
    <mergeCell ref="I173:K173"/>
    <mergeCell ref="L173:N173"/>
    <mergeCell ref="F170:G170"/>
    <mergeCell ref="I170:J170"/>
    <mergeCell ref="L170:M170"/>
    <mergeCell ref="F171:H171"/>
    <mergeCell ref="I171:K171"/>
    <mergeCell ref="L171:N171"/>
    <mergeCell ref="F168:H168"/>
    <mergeCell ref="I168:K168"/>
    <mergeCell ref="L168:N168"/>
    <mergeCell ref="F169:G169"/>
    <mergeCell ref="I169:J169"/>
    <mergeCell ref="L169:M169"/>
    <mergeCell ref="F166:H166"/>
    <mergeCell ref="I166:K166"/>
    <mergeCell ref="L166:N166"/>
    <mergeCell ref="F167:H167"/>
    <mergeCell ref="I167:K167"/>
    <mergeCell ref="L167:N167"/>
    <mergeCell ref="F164:G164"/>
    <mergeCell ref="I164:J164"/>
    <mergeCell ref="L164:M164"/>
    <mergeCell ref="F165:G165"/>
    <mergeCell ref="I165:J165"/>
    <mergeCell ref="L165:M165"/>
    <mergeCell ref="F162:G162"/>
    <mergeCell ref="I162:J162"/>
    <mergeCell ref="L162:M162"/>
    <mergeCell ref="F163:G163"/>
    <mergeCell ref="I163:J163"/>
    <mergeCell ref="L163:M163"/>
    <mergeCell ref="F160:G160"/>
    <mergeCell ref="I160:J160"/>
    <mergeCell ref="L160:M160"/>
    <mergeCell ref="F161:G161"/>
    <mergeCell ref="I161:J161"/>
    <mergeCell ref="L161:M161"/>
    <mergeCell ref="F158:H158"/>
    <mergeCell ref="I158:K158"/>
    <mergeCell ref="L158:N158"/>
    <mergeCell ref="F159:H159"/>
    <mergeCell ref="I159:K159"/>
    <mergeCell ref="L159:N159"/>
    <mergeCell ref="F156:H156"/>
    <mergeCell ref="I156:K156"/>
    <mergeCell ref="L156:N156"/>
    <mergeCell ref="F157:H157"/>
    <mergeCell ref="I157:K157"/>
    <mergeCell ref="L157:N157"/>
    <mergeCell ref="F154:H154"/>
    <mergeCell ref="I154:K154"/>
    <mergeCell ref="L154:N154"/>
    <mergeCell ref="F155:H155"/>
    <mergeCell ref="I155:K155"/>
    <mergeCell ref="L155:N155"/>
    <mergeCell ref="F152:G152"/>
    <mergeCell ref="I152:J152"/>
    <mergeCell ref="L152:M152"/>
    <mergeCell ref="F153:H153"/>
    <mergeCell ref="I153:K153"/>
    <mergeCell ref="L153:N153"/>
    <mergeCell ref="F150:G150"/>
    <mergeCell ref="I150:J150"/>
    <mergeCell ref="L150:M150"/>
    <mergeCell ref="F151:G151"/>
    <mergeCell ref="I151:J151"/>
    <mergeCell ref="L151:M151"/>
    <mergeCell ref="F148:H148"/>
    <mergeCell ref="I148:K148"/>
    <mergeCell ref="L148:N148"/>
    <mergeCell ref="F149:H149"/>
    <mergeCell ref="I149:K149"/>
    <mergeCell ref="L149:N149"/>
    <mergeCell ref="F146:G146"/>
    <mergeCell ref="I146:J146"/>
    <mergeCell ref="L146:M146"/>
    <mergeCell ref="F147:H147"/>
    <mergeCell ref="I147:K147"/>
    <mergeCell ref="L147:N147"/>
    <mergeCell ref="F144:G144"/>
    <mergeCell ref="I144:J144"/>
    <mergeCell ref="L144:M144"/>
    <mergeCell ref="F145:G145"/>
    <mergeCell ref="I145:J145"/>
    <mergeCell ref="L145:M145"/>
    <mergeCell ref="F142:G142"/>
    <mergeCell ref="I142:J142"/>
    <mergeCell ref="L142:M142"/>
    <mergeCell ref="F143:H143"/>
    <mergeCell ref="I143:K143"/>
    <mergeCell ref="L143:N143"/>
    <mergeCell ref="F140:H140"/>
    <mergeCell ref="I140:K140"/>
    <mergeCell ref="L140:N140"/>
    <mergeCell ref="F141:G141"/>
    <mergeCell ref="I141:J141"/>
    <mergeCell ref="L141:M141"/>
    <mergeCell ref="F138:G138"/>
    <mergeCell ref="I138:J138"/>
    <mergeCell ref="L138:M138"/>
    <mergeCell ref="F139:G139"/>
    <mergeCell ref="I139:J139"/>
    <mergeCell ref="L139:M139"/>
    <mergeCell ref="F136:H136"/>
    <mergeCell ref="I136:K136"/>
    <mergeCell ref="L136:N136"/>
    <mergeCell ref="F137:H137"/>
    <mergeCell ref="I137:K137"/>
    <mergeCell ref="L137:N137"/>
    <mergeCell ref="J129:L129"/>
    <mergeCell ref="J130:N130"/>
    <mergeCell ref="J131:M131"/>
    <mergeCell ref="J132:N132"/>
    <mergeCell ref="C134:N134"/>
    <mergeCell ref="C135:E135"/>
    <mergeCell ref="F135:H135"/>
    <mergeCell ref="I135:K135"/>
    <mergeCell ref="L135:N135"/>
    <mergeCell ref="J123:L123"/>
    <mergeCell ref="J124:L124"/>
    <mergeCell ref="J125:L125"/>
    <mergeCell ref="J126:L126"/>
    <mergeCell ref="J127:L127"/>
    <mergeCell ref="J128:L128"/>
    <mergeCell ref="C117:N117"/>
    <mergeCell ref="J118:M118"/>
    <mergeCell ref="J119:M119"/>
    <mergeCell ref="J120:M120"/>
    <mergeCell ref="J121:N121"/>
    <mergeCell ref="J122:M122"/>
    <mergeCell ref="G114:H114"/>
    <mergeCell ref="I114:J114"/>
    <mergeCell ref="K114:L114"/>
    <mergeCell ref="M114:N114"/>
    <mergeCell ref="G115:H115"/>
    <mergeCell ref="I115:J115"/>
    <mergeCell ref="K115:L115"/>
    <mergeCell ref="M115:N115"/>
    <mergeCell ref="C107:N107"/>
    <mergeCell ref="I108:N108"/>
    <mergeCell ref="I109:N109"/>
    <mergeCell ref="I110:N110"/>
    <mergeCell ref="C112:N112"/>
    <mergeCell ref="G113:H113"/>
    <mergeCell ref="I113:J113"/>
    <mergeCell ref="K113:L113"/>
    <mergeCell ref="M113:N113"/>
    <mergeCell ref="J100:M100"/>
    <mergeCell ref="J101:M101"/>
    <mergeCell ref="J102:M102"/>
    <mergeCell ref="J103:M103"/>
    <mergeCell ref="J104:M104"/>
    <mergeCell ref="J105:M105"/>
    <mergeCell ref="J93:M93"/>
    <mergeCell ref="J94:M94"/>
    <mergeCell ref="J95:M95"/>
    <mergeCell ref="J96:M96"/>
    <mergeCell ref="C98:N98"/>
    <mergeCell ref="J99:N99"/>
    <mergeCell ref="J87:M87"/>
    <mergeCell ref="J88:M88"/>
    <mergeCell ref="J89:M89"/>
    <mergeCell ref="J90:M90"/>
    <mergeCell ref="C91:N91"/>
    <mergeCell ref="J92:N92"/>
    <mergeCell ref="J81:N81"/>
    <mergeCell ref="J82:M82"/>
    <mergeCell ref="J83:M83"/>
    <mergeCell ref="J84:M84"/>
    <mergeCell ref="J85:L85"/>
    <mergeCell ref="J86:L86"/>
    <mergeCell ref="J75:M75"/>
    <mergeCell ref="J76:M76"/>
    <mergeCell ref="J77:M77"/>
    <mergeCell ref="J78:M78"/>
    <mergeCell ref="J79:N79"/>
    <mergeCell ref="C80:N80"/>
    <mergeCell ref="J69:M69"/>
    <mergeCell ref="J70:L70"/>
    <mergeCell ref="J71:L71"/>
    <mergeCell ref="J72:M72"/>
    <mergeCell ref="J73:L73"/>
    <mergeCell ref="J74:L74"/>
    <mergeCell ref="J63:N63"/>
    <mergeCell ref="J64:M64"/>
    <mergeCell ref="J65:M65"/>
    <mergeCell ref="J66:N66"/>
    <mergeCell ref="J67:M67"/>
    <mergeCell ref="J68:M68"/>
    <mergeCell ref="J57:M57"/>
    <mergeCell ref="J58:M58"/>
    <mergeCell ref="C59:N59"/>
    <mergeCell ref="J60:N60"/>
    <mergeCell ref="J61:M61"/>
    <mergeCell ref="J62:M62"/>
    <mergeCell ref="C51:N51"/>
    <mergeCell ref="C52:N52"/>
    <mergeCell ref="J53:N53"/>
    <mergeCell ref="J54:N54"/>
    <mergeCell ref="J55:N55"/>
    <mergeCell ref="J56:M56"/>
    <mergeCell ref="G48:H48"/>
    <mergeCell ref="I48:J48"/>
    <mergeCell ref="K48:L48"/>
    <mergeCell ref="M48:N48"/>
    <mergeCell ref="G49:H49"/>
    <mergeCell ref="I49:J49"/>
    <mergeCell ref="K49:L49"/>
    <mergeCell ref="M49:N49"/>
    <mergeCell ref="G46:H46"/>
    <mergeCell ref="I46:J46"/>
    <mergeCell ref="K46:L46"/>
    <mergeCell ref="M46:N46"/>
    <mergeCell ref="G47:H47"/>
    <mergeCell ref="I47:J47"/>
    <mergeCell ref="K47:L47"/>
    <mergeCell ref="M47:N47"/>
    <mergeCell ref="G44:H44"/>
    <mergeCell ref="I44:J44"/>
    <mergeCell ref="K44:L44"/>
    <mergeCell ref="M44:N44"/>
    <mergeCell ref="G45:H45"/>
    <mergeCell ref="I45:J45"/>
    <mergeCell ref="K45:L45"/>
    <mergeCell ref="M45:N45"/>
    <mergeCell ref="G42:H42"/>
    <mergeCell ref="I42:J42"/>
    <mergeCell ref="K42:L42"/>
    <mergeCell ref="M42:N42"/>
    <mergeCell ref="G43:H43"/>
    <mergeCell ref="I43:J43"/>
    <mergeCell ref="K43:L43"/>
    <mergeCell ref="M43:N43"/>
    <mergeCell ref="G40:H40"/>
    <mergeCell ref="I40:J40"/>
    <mergeCell ref="K40:L40"/>
    <mergeCell ref="M40:N40"/>
    <mergeCell ref="G41:H41"/>
    <mergeCell ref="I41:J41"/>
    <mergeCell ref="K41:L41"/>
    <mergeCell ref="M41:N41"/>
    <mergeCell ref="G38:H38"/>
    <mergeCell ref="I38:J38"/>
    <mergeCell ref="K38:L38"/>
    <mergeCell ref="M38:N38"/>
    <mergeCell ref="G39:H39"/>
    <mergeCell ref="I39:J39"/>
    <mergeCell ref="K39:L39"/>
    <mergeCell ref="M39:N39"/>
    <mergeCell ref="G36:H36"/>
    <mergeCell ref="I36:J36"/>
    <mergeCell ref="K36:L36"/>
    <mergeCell ref="M36:N36"/>
    <mergeCell ref="G37:H37"/>
    <mergeCell ref="I37:J37"/>
    <mergeCell ref="K37:L37"/>
    <mergeCell ref="M37:N37"/>
    <mergeCell ref="G34:H34"/>
    <mergeCell ref="I34:J34"/>
    <mergeCell ref="K34:L34"/>
    <mergeCell ref="M34:N34"/>
    <mergeCell ref="G35:H35"/>
    <mergeCell ref="I35:J35"/>
    <mergeCell ref="K35:L35"/>
    <mergeCell ref="M35:N35"/>
    <mergeCell ref="G32:H32"/>
    <mergeCell ref="I32:J32"/>
    <mergeCell ref="K32:L32"/>
    <mergeCell ref="M32:N32"/>
    <mergeCell ref="G33:H33"/>
    <mergeCell ref="I33:J33"/>
    <mergeCell ref="K33:L33"/>
    <mergeCell ref="M33:N33"/>
    <mergeCell ref="G30:H30"/>
    <mergeCell ref="I30:J30"/>
    <mergeCell ref="K30:L30"/>
    <mergeCell ref="M30:N30"/>
    <mergeCell ref="G31:H31"/>
    <mergeCell ref="I31:J31"/>
    <mergeCell ref="K31:L31"/>
    <mergeCell ref="M31:N31"/>
    <mergeCell ref="G28:H28"/>
    <mergeCell ref="I28:J28"/>
    <mergeCell ref="K28:L28"/>
    <mergeCell ref="M28:N28"/>
    <mergeCell ref="G29:H29"/>
    <mergeCell ref="I29:J29"/>
    <mergeCell ref="K29:L29"/>
    <mergeCell ref="M29:N29"/>
    <mergeCell ref="G26:H26"/>
    <mergeCell ref="I26:J26"/>
    <mergeCell ref="K26:L26"/>
    <mergeCell ref="M26:N26"/>
    <mergeCell ref="G27:H27"/>
    <mergeCell ref="I27:J27"/>
    <mergeCell ref="K27:L27"/>
    <mergeCell ref="M27:N27"/>
    <mergeCell ref="G24:H24"/>
    <mergeCell ref="I24:J24"/>
    <mergeCell ref="K24:L24"/>
    <mergeCell ref="M24:N24"/>
    <mergeCell ref="G25:H25"/>
    <mergeCell ref="I25:J25"/>
    <mergeCell ref="K25:L25"/>
    <mergeCell ref="M25:N25"/>
    <mergeCell ref="J17:N17"/>
    <mergeCell ref="J18:N18"/>
    <mergeCell ref="J19:N19"/>
    <mergeCell ref="J20:N20"/>
    <mergeCell ref="C22:N22"/>
    <mergeCell ref="G23:H23"/>
    <mergeCell ref="I23:J23"/>
    <mergeCell ref="K23:L23"/>
    <mergeCell ref="M23:N23"/>
    <mergeCell ref="J12:N12"/>
    <mergeCell ref="J13:N13"/>
    <mergeCell ref="C14:E15"/>
    <mergeCell ref="J14:N14"/>
    <mergeCell ref="J15:N15"/>
    <mergeCell ref="J16:N16"/>
    <mergeCell ref="C3:N4"/>
    <mergeCell ref="C6:N6"/>
    <mergeCell ref="J8:N8"/>
    <mergeCell ref="J9:N9"/>
    <mergeCell ref="C10:E11"/>
    <mergeCell ref="J10:N10"/>
    <mergeCell ref="J11:N11"/>
  </mergeCells>
  <pageMargins left="0.7" right="0.7" top="0.75" bottom="0.75" header="0.3" footer="0.3"/>
  <pageSetup paperSize="9" orientation="portrait" r:id="rId1"/>
  <ignoredErrors>
    <ignoredError sqref="F137:K165 I168 I178" formula="1"/>
    <ignoredError sqref="I34:N46" formulaRange="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EC6DC-DB2E-4F7E-8C00-F638D3A99003}">
  <dimension ref="B1:S120"/>
  <sheetViews>
    <sheetView tabSelected="1" topLeftCell="A28" zoomScaleNormal="100" workbookViewId="0">
      <selection activeCell="Q50" sqref="Q50"/>
    </sheetView>
  </sheetViews>
  <sheetFormatPr defaultColWidth="9.109375" defaultRowHeight="14.4"/>
  <cols>
    <col min="1" max="1" width="9.109375" style="1"/>
    <col min="2" max="2" width="3.44140625" style="1" customWidth="1"/>
    <col min="3" max="3" width="37.6640625" style="1" customWidth="1"/>
    <col min="4" max="13" width="9.109375" style="1"/>
    <col min="14" max="14" width="10.44140625" style="1" customWidth="1"/>
    <col min="15" max="15" width="4" style="1" customWidth="1"/>
    <col min="16" max="16" width="11.21875" style="1" bestFit="1" customWidth="1"/>
    <col min="17" max="17" width="12.88671875" style="1" bestFit="1" customWidth="1"/>
    <col min="18" max="18" width="12.21875" style="1" bestFit="1" customWidth="1"/>
    <col min="19" max="19" width="11.6640625" style="1" bestFit="1" customWidth="1"/>
    <col min="20" max="16384" width="9.109375" style="1"/>
  </cols>
  <sheetData>
    <row r="1" spans="2:15" ht="15" thickBot="1"/>
    <row r="2" spans="2:15" ht="15" thickBot="1">
      <c r="B2" s="2"/>
      <c r="C2" s="3"/>
      <c r="D2" s="3"/>
      <c r="E2" s="3"/>
      <c r="F2" s="3"/>
      <c r="G2" s="3"/>
      <c r="H2" s="3"/>
      <c r="I2" s="3"/>
      <c r="J2" s="3"/>
      <c r="K2" s="3"/>
      <c r="L2" s="3"/>
      <c r="M2" s="3"/>
      <c r="N2" s="3"/>
      <c r="O2" s="4"/>
    </row>
    <row r="3" spans="2:15" ht="20.25" customHeight="1">
      <c r="B3" s="5"/>
      <c r="C3" s="6" t="s">
        <v>0</v>
      </c>
      <c r="D3" s="7"/>
      <c r="E3" s="7"/>
      <c r="F3" s="7"/>
      <c r="G3" s="7"/>
      <c r="H3" s="7"/>
      <c r="I3" s="7"/>
      <c r="J3" s="7"/>
      <c r="K3" s="7"/>
      <c r="L3" s="7"/>
      <c r="M3" s="7"/>
      <c r="N3" s="8"/>
      <c r="O3" s="9"/>
    </row>
    <row r="4" spans="2:15" ht="20.25" customHeight="1" thickBot="1">
      <c r="B4" s="5"/>
      <c r="C4" s="10"/>
      <c r="D4" s="11"/>
      <c r="E4" s="11"/>
      <c r="F4" s="11"/>
      <c r="G4" s="11"/>
      <c r="H4" s="11"/>
      <c r="I4" s="11"/>
      <c r="J4" s="11"/>
      <c r="K4" s="11"/>
      <c r="L4" s="11"/>
      <c r="M4" s="11"/>
      <c r="N4" s="12"/>
      <c r="O4" s="9"/>
    </row>
    <row r="5" spans="2:15" ht="15" thickBot="1">
      <c r="B5" s="5"/>
      <c r="C5" s="13"/>
      <c r="D5" s="13"/>
      <c r="E5" s="13"/>
      <c r="F5" s="13"/>
      <c r="G5" s="13"/>
      <c r="H5" s="13"/>
      <c r="I5" s="13"/>
      <c r="J5" s="13"/>
      <c r="K5" s="13"/>
      <c r="L5" s="13"/>
      <c r="M5" s="13"/>
      <c r="N5" s="13"/>
      <c r="O5" s="9"/>
    </row>
    <row r="6" spans="2:15" ht="15" thickBot="1">
      <c r="B6" s="5"/>
      <c r="C6" s="14" t="s">
        <v>221</v>
      </c>
      <c r="D6" s="15"/>
      <c r="E6" s="15"/>
      <c r="F6" s="15"/>
      <c r="G6" s="15"/>
      <c r="H6" s="15"/>
      <c r="I6" s="15"/>
      <c r="J6" s="15"/>
      <c r="K6" s="15"/>
      <c r="L6" s="15"/>
      <c r="M6" s="15"/>
      <c r="N6" s="16"/>
      <c r="O6" s="9"/>
    </row>
    <row r="7" spans="2:15" ht="15" thickBot="1">
      <c r="B7" s="5"/>
      <c r="C7" s="13"/>
      <c r="D7" s="13"/>
      <c r="E7" s="13"/>
      <c r="F7" s="13"/>
      <c r="G7" s="13"/>
      <c r="H7" s="13"/>
      <c r="I7" s="13"/>
      <c r="J7" s="13"/>
      <c r="K7" s="13"/>
      <c r="L7" s="13"/>
      <c r="M7" s="13"/>
      <c r="N7" s="13"/>
      <c r="O7" s="9"/>
    </row>
    <row r="8" spans="2:15">
      <c r="B8" s="5"/>
      <c r="C8" s="17" t="s">
        <v>222</v>
      </c>
      <c r="D8" s="18"/>
      <c r="E8" s="18"/>
      <c r="F8" s="18"/>
      <c r="G8" s="18"/>
      <c r="H8" s="18"/>
      <c r="I8" s="19"/>
      <c r="J8" s="20">
        <f>J9+10</f>
        <v>44602</v>
      </c>
      <c r="K8" s="20"/>
      <c r="L8" s="20"/>
      <c r="M8" s="20"/>
      <c r="N8" s="21"/>
      <c r="O8" s="9"/>
    </row>
    <row r="9" spans="2:15">
      <c r="B9" s="5"/>
      <c r="C9" s="22" t="s">
        <v>223</v>
      </c>
      <c r="D9" s="23"/>
      <c r="E9" s="23"/>
      <c r="F9" s="23"/>
      <c r="G9" s="23"/>
      <c r="H9" s="23"/>
      <c r="I9" s="24"/>
      <c r="J9" s="25">
        <v>44592</v>
      </c>
      <c r="K9" s="25"/>
      <c r="L9" s="25"/>
      <c r="M9" s="25"/>
      <c r="N9" s="26"/>
      <c r="O9" s="9"/>
    </row>
    <row r="10" spans="2:15">
      <c r="B10" s="5"/>
      <c r="C10" s="27" t="s">
        <v>4</v>
      </c>
      <c r="D10" s="28"/>
      <c r="E10" s="29"/>
      <c r="F10" s="30" t="s">
        <v>224</v>
      </c>
      <c r="G10" s="23"/>
      <c r="H10" s="23"/>
      <c r="I10" s="24"/>
      <c r="J10" s="25">
        <v>44500</v>
      </c>
      <c r="K10" s="25"/>
      <c r="L10" s="25"/>
      <c r="M10" s="25"/>
      <c r="N10" s="26"/>
      <c r="O10" s="9"/>
    </row>
    <row r="11" spans="2:15">
      <c r="B11" s="5"/>
      <c r="C11" s="31"/>
      <c r="D11" s="32"/>
      <c r="E11" s="33"/>
      <c r="F11" s="34" t="s">
        <v>225</v>
      </c>
      <c r="G11" s="23"/>
      <c r="H11" s="23"/>
      <c r="I11" s="24"/>
      <c r="J11" s="25">
        <f>J9</f>
        <v>44592</v>
      </c>
      <c r="K11" s="25"/>
      <c r="L11" s="25"/>
      <c r="M11" s="25"/>
      <c r="N11" s="26"/>
      <c r="O11" s="9"/>
    </row>
    <row r="12" spans="2:15">
      <c r="B12" s="5"/>
      <c r="C12" s="306" t="s">
        <v>226</v>
      </c>
      <c r="D12" s="36"/>
      <c r="E12" s="307"/>
      <c r="F12" s="38"/>
      <c r="G12" s="23"/>
      <c r="H12" s="23"/>
      <c r="I12" s="24"/>
      <c r="J12" s="39">
        <f>J11-J10</f>
        <v>92</v>
      </c>
      <c r="K12" s="39"/>
      <c r="L12" s="39"/>
      <c r="M12" s="39"/>
      <c r="N12" s="40"/>
      <c r="O12" s="9"/>
    </row>
    <row r="13" spans="2:15">
      <c r="B13" s="5"/>
      <c r="C13" s="27" t="s">
        <v>227</v>
      </c>
      <c r="D13" s="28"/>
      <c r="E13" s="29"/>
      <c r="F13" s="30" t="s">
        <v>228</v>
      </c>
      <c r="G13" s="38"/>
      <c r="H13" s="38"/>
      <c r="I13" s="42"/>
      <c r="J13" s="308" t="s">
        <v>229</v>
      </c>
      <c r="K13" s="308"/>
      <c r="L13" s="308"/>
      <c r="M13" s="308"/>
      <c r="N13" s="309"/>
      <c r="O13" s="9"/>
    </row>
    <row r="14" spans="2:15">
      <c r="B14" s="5"/>
      <c r="C14" s="31"/>
      <c r="D14" s="32"/>
      <c r="E14" s="44"/>
      <c r="F14" s="30" t="s">
        <v>230</v>
      </c>
      <c r="G14" s="38"/>
      <c r="H14" s="38"/>
      <c r="I14" s="42"/>
      <c r="J14" s="308" t="s">
        <v>229</v>
      </c>
      <c r="K14" s="308"/>
      <c r="L14" s="308"/>
      <c r="M14" s="308"/>
      <c r="N14" s="309"/>
      <c r="O14" s="9"/>
    </row>
    <row r="15" spans="2:15">
      <c r="B15" s="5"/>
      <c r="C15" s="35" t="s">
        <v>231</v>
      </c>
      <c r="D15" s="45"/>
      <c r="E15" s="45"/>
      <c r="F15" s="38"/>
      <c r="G15" s="38"/>
      <c r="H15" s="38"/>
      <c r="I15" s="42"/>
      <c r="J15" s="25">
        <v>52366</v>
      </c>
      <c r="K15" s="25"/>
      <c r="L15" s="25"/>
      <c r="M15" s="25"/>
      <c r="N15" s="26"/>
      <c r="O15" s="9"/>
    </row>
    <row r="16" spans="2:15">
      <c r="B16" s="5"/>
      <c r="C16" s="35" t="s">
        <v>232</v>
      </c>
      <c r="D16" s="45"/>
      <c r="E16" s="45"/>
      <c r="F16" s="38"/>
      <c r="G16" s="38"/>
      <c r="H16" s="38"/>
      <c r="I16" s="42"/>
      <c r="J16" s="310">
        <v>3.6830000000000002E-2</v>
      </c>
      <c r="K16" s="310"/>
      <c r="L16" s="310"/>
      <c r="M16" s="310"/>
      <c r="N16" s="311"/>
      <c r="O16" s="9"/>
    </row>
    <row r="17" spans="2:17">
      <c r="B17" s="5"/>
      <c r="C17" s="27" t="s">
        <v>233</v>
      </c>
      <c r="D17" s="28"/>
      <c r="E17" s="29"/>
      <c r="F17" s="38" t="s">
        <v>234</v>
      </c>
      <c r="G17" s="38"/>
      <c r="H17" s="38"/>
      <c r="I17" s="42"/>
      <c r="J17" s="312">
        <v>44515</v>
      </c>
      <c r="K17" s="313"/>
      <c r="L17" s="313"/>
      <c r="M17" s="313"/>
      <c r="N17" s="314"/>
      <c r="O17" s="9"/>
    </row>
    <row r="18" spans="2:17">
      <c r="B18" s="5"/>
      <c r="C18" s="31"/>
      <c r="D18" s="32"/>
      <c r="E18" s="44"/>
      <c r="F18" s="38" t="s">
        <v>235</v>
      </c>
      <c r="G18" s="38"/>
      <c r="H18" s="38"/>
      <c r="I18" s="42"/>
      <c r="J18" s="25">
        <v>44607</v>
      </c>
      <c r="K18" s="25"/>
      <c r="L18" s="25"/>
      <c r="M18" s="25"/>
      <c r="N18" s="26"/>
      <c r="O18" s="9"/>
    </row>
    <row r="19" spans="2:17">
      <c r="B19" s="5"/>
      <c r="C19" s="41" t="s">
        <v>236</v>
      </c>
      <c r="D19" s="38"/>
      <c r="E19" s="38"/>
      <c r="F19" s="38"/>
      <c r="G19" s="38"/>
      <c r="H19" s="38"/>
      <c r="I19" s="42"/>
      <c r="J19" s="315" t="s">
        <v>17</v>
      </c>
      <c r="K19" s="315"/>
      <c r="L19" s="315"/>
      <c r="M19" s="315"/>
      <c r="N19" s="316"/>
      <c r="O19" s="9"/>
    </row>
    <row r="20" spans="2:17" ht="15" thickBot="1">
      <c r="B20" s="5"/>
      <c r="C20" s="83" t="s">
        <v>237</v>
      </c>
      <c r="D20" s="317"/>
      <c r="E20" s="317"/>
      <c r="F20" s="317"/>
      <c r="G20" s="317"/>
      <c r="H20" s="317"/>
      <c r="I20" s="317"/>
      <c r="J20" s="51" t="s">
        <v>238</v>
      </c>
      <c r="K20" s="51"/>
      <c r="L20" s="51"/>
      <c r="M20" s="51"/>
      <c r="N20" s="52"/>
      <c r="O20" s="9"/>
    </row>
    <row r="21" spans="2:17" ht="15" thickBot="1">
      <c r="B21" s="5"/>
      <c r="C21" s="5"/>
      <c r="D21" s="13"/>
      <c r="E21" s="13"/>
      <c r="F21" s="13"/>
      <c r="G21" s="13"/>
      <c r="H21" s="13"/>
      <c r="I21" s="13"/>
      <c r="J21" s="13"/>
      <c r="K21" s="13"/>
      <c r="L21" s="13"/>
      <c r="M21" s="13"/>
      <c r="N21" s="9"/>
      <c r="O21" s="9"/>
    </row>
    <row r="22" spans="2:17">
      <c r="B22" s="5"/>
      <c r="C22" s="88" t="s">
        <v>239</v>
      </c>
      <c r="D22" s="89"/>
      <c r="E22" s="89"/>
      <c r="F22" s="89"/>
      <c r="G22" s="89"/>
      <c r="H22" s="89"/>
      <c r="I22" s="89"/>
      <c r="J22" s="89"/>
      <c r="K22" s="89"/>
      <c r="L22" s="89"/>
      <c r="M22" s="89"/>
      <c r="N22" s="90"/>
      <c r="O22" s="9"/>
    </row>
    <row r="23" spans="2:17">
      <c r="B23" s="5"/>
      <c r="C23" s="91" t="s">
        <v>240</v>
      </c>
      <c r="D23" s="92"/>
      <c r="E23" s="92"/>
      <c r="F23" s="92"/>
      <c r="G23" s="92"/>
      <c r="H23" s="92"/>
      <c r="I23" s="92"/>
      <c r="J23" s="92"/>
      <c r="K23" s="92"/>
      <c r="L23" s="92"/>
      <c r="M23" s="92"/>
      <c r="N23" s="93"/>
      <c r="O23" s="9"/>
    </row>
    <row r="24" spans="2:17">
      <c r="B24" s="5"/>
      <c r="C24" s="125" t="s">
        <v>241</v>
      </c>
      <c r="D24" s="318"/>
      <c r="E24" s="318"/>
      <c r="F24" s="318"/>
      <c r="G24" s="318"/>
      <c r="H24" s="318"/>
      <c r="I24" s="319"/>
      <c r="J24" s="320">
        <v>645001717.52149999</v>
      </c>
      <c r="K24" s="320"/>
      <c r="L24" s="320"/>
      <c r="M24" s="320"/>
      <c r="N24" s="321"/>
      <c r="O24" s="9"/>
      <c r="Q24" s="103"/>
    </row>
    <row r="25" spans="2:17">
      <c r="B25" s="5"/>
      <c r="C25" s="91" t="s">
        <v>242</v>
      </c>
      <c r="D25" s="92"/>
      <c r="E25" s="92"/>
      <c r="F25" s="92"/>
      <c r="G25" s="92"/>
      <c r="H25" s="92"/>
      <c r="I25" s="92"/>
      <c r="J25" s="92"/>
      <c r="K25" s="92"/>
      <c r="L25" s="92"/>
      <c r="M25" s="92"/>
      <c r="N25" s="93"/>
      <c r="O25" s="9"/>
    </row>
    <row r="26" spans="2:17">
      <c r="B26" s="5"/>
      <c r="C26" s="131" t="s">
        <v>243</v>
      </c>
      <c r="D26" s="322"/>
      <c r="E26" s="322"/>
      <c r="F26" s="322"/>
      <c r="G26" s="322"/>
      <c r="H26" s="322"/>
      <c r="I26" s="322"/>
      <c r="J26" s="111">
        <f>SUM(J27:M28)</f>
        <v>0</v>
      </c>
      <c r="K26" s="112"/>
      <c r="L26" s="112"/>
      <c r="M26" s="112"/>
      <c r="N26" s="113"/>
      <c r="O26" s="9"/>
    </row>
    <row r="27" spans="2:17">
      <c r="B27" s="5"/>
      <c r="C27" s="323" t="s">
        <v>244</v>
      </c>
      <c r="D27" s="322"/>
      <c r="E27" s="322"/>
      <c r="F27" s="322"/>
      <c r="G27" s="322"/>
      <c r="H27" s="322"/>
      <c r="I27" s="322"/>
      <c r="J27" s="324">
        <v>0</v>
      </c>
      <c r="K27" s="325"/>
      <c r="L27" s="325"/>
      <c r="M27" s="325"/>
      <c r="N27" s="326"/>
      <c r="O27" s="9"/>
    </row>
    <row r="28" spans="2:17">
      <c r="B28" s="5"/>
      <c r="C28" s="323" t="s">
        <v>245</v>
      </c>
      <c r="D28" s="322"/>
      <c r="E28" s="322"/>
      <c r="F28" s="322"/>
      <c r="G28" s="322"/>
      <c r="H28" s="322"/>
      <c r="I28" s="322"/>
      <c r="J28" s="327">
        <v>0</v>
      </c>
      <c r="K28" s="328"/>
      <c r="L28" s="328"/>
      <c r="M28" s="328"/>
      <c r="N28" s="329"/>
      <c r="O28" s="9"/>
      <c r="Q28" s="305"/>
    </row>
    <row r="29" spans="2:17">
      <c r="B29" s="5"/>
      <c r="C29" s="131" t="s">
        <v>246</v>
      </c>
      <c r="D29" s="322"/>
      <c r="E29" s="322"/>
      <c r="F29" s="322"/>
      <c r="G29" s="322"/>
      <c r="H29" s="322"/>
      <c r="I29" s="322"/>
      <c r="J29" s="111">
        <f>SUM(J30:M31)</f>
        <v>2078349.003</v>
      </c>
      <c r="K29" s="112"/>
      <c r="L29" s="112"/>
      <c r="M29" s="112"/>
      <c r="N29" s="113"/>
      <c r="O29" s="9"/>
    </row>
    <row r="30" spans="2:17">
      <c r="B30" s="5"/>
      <c r="C30" s="323" t="s">
        <v>247</v>
      </c>
      <c r="D30" s="322"/>
      <c r="E30" s="322"/>
      <c r="F30" s="322"/>
      <c r="G30" s="322"/>
      <c r="H30" s="322"/>
      <c r="I30" s="322"/>
      <c r="J30" s="324">
        <v>1611194.74</v>
      </c>
      <c r="K30" s="325"/>
      <c r="L30" s="325"/>
      <c r="M30" s="325"/>
      <c r="N30" s="326"/>
      <c r="O30" s="9"/>
    </row>
    <row r="31" spans="2:17">
      <c r="B31" s="5"/>
      <c r="C31" s="323" t="s">
        <v>248</v>
      </c>
      <c r="D31" s="322"/>
      <c r="E31" s="322"/>
      <c r="F31" s="322"/>
      <c r="G31" s="322"/>
      <c r="H31" s="322"/>
      <c r="I31" s="322"/>
      <c r="J31" s="327">
        <v>467154.26300000004</v>
      </c>
      <c r="K31" s="328"/>
      <c r="L31" s="328"/>
      <c r="M31" s="328"/>
      <c r="N31" s="329"/>
      <c r="O31" s="9"/>
    </row>
    <row r="32" spans="2:17">
      <c r="B32" s="5"/>
      <c r="C32" s="91" t="s">
        <v>249</v>
      </c>
      <c r="D32" s="92"/>
      <c r="E32" s="92"/>
      <c r="F32" s="92"/>
      <c r="G32" s="92"/>
      <c r="H32" s="92"/>
      <c r="I32" s="92"/>
      <c r="J32" s="92"/>
      <c r="K32" s="92"/>
      <c r="L32" s="92"/>
      <c r="M32" s="92"/>
      <c r="N32" s="93"/>
      <c r="O32" s="9"/>
    </row>
    <row r="33" spans="2:19">
      <c r="B33" s="5"/>
      <c r="C33" s="125" t="s">
        <v>250</v>
      </c>
      <c r="D33" s="318"/>
      <c r="E33" s="318"/>
      <c r="F33" s="318"/>
      <c r="G33" s="318"/>
      <c r="H33" s="318"/>
      <c r="I33" s="319"/>
      <c r="J33" s="112">
        <f>SUM(J34:M36)</f>
        <v>23490795</v>
      </c>
      <c r="K33" s="112"/>
      <c r="L33" s="112"/>
      <c r="M33" s="112"/>
      <c r="N33" s="113"/>
      <c r="O33" s="9"/>
    </row>
    <row r="34" spans="2:19">
      <c r="B34" s="5"/>
      <c r="C34" s="79" t="s">
        <v>251</v>
      </c>
      <c r="D34" s="322"/>
      <c r="E34" s="322"/>
      <c r="F34" s="322"/>
      <c r="G34" s="322"/>
      <c r="H34" s="322"/>
      <c r="I34" s="330"/>
      <c r="J34" s="325">
        <v>7118234.5599999987</v>
      </c>
      <c r="K34" s="325"/>
      <c r="L34" s="325"/>
      <c r="M34" s="325"/>
      <c r="N34" s="331"/>
      <c r="O34" s="9"/>
    </row>
    <row r="35" spans="2:19">
      <c r="B35" s="5"/>
      <c r="C35" s="79" t="s">
        <v>252</v>
      </c>
      <c r="D35" s="322"/>
      <c r="E35" s="322"/>
      <c r="F35" s="322"/>
      <c r="G35" s="322"/>
      <c r="H35" s="322"/>
      <c r="I35" s="330"/>
      <c r="J35" s="325">
        <v>16372560.440000001</v>
      </c>
      <c r="K35" s="325"/>
      <c r="L35" s="325"/>
      <c r="M35" s="325"/>
      <c r="N35" s="331"/>
      <c r="O35" s="9"/>
    </row>
    <row r="36" spans="2:19">
      <c r="B36" s="5"/>
      <c r="C36" s="116" t="s">
        <v>253</v>
      </c>
      <c r="D36" s="332"/>
      <c r="E36" s="332"/>
      <c r="F36" s="332"/>
      <c r="G36" s="332"/>
      <c r="H36" s="332"/>
      <c r="I36" s="333"/>
      <c r="J36" s="325">
        <v>0</v>
      </c>
      <c r="K36" s="325"/>
      <c r="L36" s="325"/>
      <c r="M36" s="325"/>
      <c r="N36" s="331"/>
      <c r="O36" s="9"/>
    </row>
    <row r="37" spans="2:19">
      <c r="B37" s="5"/>
      <c r="C37" s="91" t="s">
        <v>254</v>
      </c>
      <c r="D37" s="92"/>
      <c r="E37" s="92"/>
      <c r="F37" s="92"/>
      <c r="G37" s="92"/>
      <c r="H37" s="92"/>
      <c r="I37" s="92"/>
      <c r="J37" s="92"/>
      <c r="K37" s="92"/>
      <c r="L37" s="92"/>
      <c r="M37" s="92"/>
      <c r="N37" s="93"/>
      <c r="O37" s="9"/>
    </row>
    <row r="38" spans="2:19">
      <c r="B38" s="5"/>
      <c r="C38" s="125" t="s">
        <v>255</v>
      </c>
      <c r="D38" s="318"/>
      <c r="E38" s="318"/>
      <c r="F38" s="318"/>
      <c r="G38" s="318"/>
      <c r="H38" s="318"/>
      <c r="I38" s="319"/>
      <c r="J38" s="112">
        <f>SUM(J39:M41)</f>
        <v>23197837.000000004</v>
      </c>
      <c r="K38" s="112"/>
      <c r="L38" s="112"/>
      <c r="M38" s="112"/>
      <c r="N38" s="113"/>
      <c r="O38" s="9"/>
    </row>
    <row r="39" spans="2:19">
      <c r="B39" s="5"/>
      <c r="C39" s="79" t="s">
        <v>256</v>
      </c>
      <c r="D39" s="322"/>
      <c r="E39" s="322"/>
      <c r="F39" s="322"/>
      <c r="G39" s="322"/>
      <c r="H39" s="322"/>
      <c r="I39" s="330"/>
      <c r="J39" s="325">
        <v>6833327.5899999989</v>
      </c>
      <c r="K39" s="325"/>
      <c r="L39" s="325"/>
      <c r="M39" s="325"/>
      <c r="N39" s="326"/>
      <c r="O39" s="9"/>
    </row>
    <row r="40" spans="2:19">
      <c r="B40" s="5"/>
      <c r="C40" s="79" t="s">
        <v>257</v>
      </c>
      <c r="D40" s="322"/>
      <c r="E40" s="322"/>
      <c r="F40" s="322"/>
      <c r="G40" s="322"/>
      <c r="H40" s="322"/>
      <c r="I40" s="330"/>
      <c r="J40" s="325">
        <v>16364509.410000004</v>
      </c>
      <c r="K40" s="325"/>
      <c r="L40" s="325"/>
      <c r="M40" s="325"/>
      <c r="N40" s="326"/>
      <c r="O40" s="9"/>
    </row>
    <row r="41" spans="2:19">
      <c r="B41" s="5"/>
      <c r="C41" s="116" t="s">
        <v>258</v>
      </c>
      <c r="D41" s="332"/>
      <c r="E41" s="332"/>
      <c r="F41" s="332"/>
      <c r="G41" s="332"/>
      <c r="H41" s="332"/>
      <c r="I41" s="333"/>
      <c r="J41" s="325">
        <v>0</v>
      </c>
      <c r="K41" s="325"/>
      <c r="L41" s="325"/>
      <c r="M41" s="325"/>
      <c r="N41" s="326"/>
      <c r="O41" s="9"/>
    </row>
    <row r="42" spans="2:19">
      <c r="B42" s="5"/>
      <c r="C42" s="131" t="s">
        <v>259</v>
      </c>
      <c r="D42" s="322"/>
      <c r="E42" s="322"/>
      <c r="F42" s="322"/>
      <c r="G42" s="322"/>
      <c r="H42" s="322"/>
      <c r="I42" s="330"/>
      <c r="J42" s="97">
        <v>26494927.43</v>
      </c>
      <c r="K42" s="98"/>
      <c r="L42" s="98"/>
      <c r="M42" s="98"/>
      <c r="N42" s="99"/>
      <c r="O42" s="9"/>
      <c r="P42" s="334"/>
    </row>
    <row r="43" spans="2:19">
      <c r="B43" s="5"/>
      <c r="C43" s="151" t="s">
        <v>260</v>
      </c>
      <c r="D43" s="335"/>
      <c r="E43" s="335"/>
      <c r="F43" s="335"/>
      <c r="G43" s="335"/>
      <c r="H43" s="335"/>
      <c r="I43" s="336"/>
      <c r="J43" s="97">
        <v>0</v>
      </c>
      <c r="K43" s="98"/>
      <c r="L43" s="98"/>
      <c r="M43" s="98"/>
      <c r="N43" s="99"/>
      <c r="O43" s="9"/>
    </row>
    <row r="44" spans="2:19">
      <c r="B44" s="5"/>
      <c r="C44" s="151" t="s">
        <v>261</v>
      </c>
      <c r="D44" s="335"/>
      <c r="E44" s="335"/>
      <c r="F44" s="335"/>
      <c r="G44" s="335"/>
      <c r="H44" s="335"/>
      <c r="I44" s="336"/>
      <c r="J44" s="97">
        <v>0</v>
      </c>
      <c r="K44" s="98"/>
      <c r="L44" s="98"/>
      <c r="M44" s="98"/>
      <c r="N44" s="99"/>
      <c r="O44" s="9"/>
    </row>
    <row r="45" spans="2:19" ht="13.8" customHeight="1">
      <c r="B45" s="5"/>
      <c r="C45" s="125" t="s">
        <v>262</v>
      </c>
      <c r="D45" s="318"/>
      <c r="E45" s="318"/>
      <c r="F45" s="318"/>
      <c r="G45" s="318"/>
      <c r="H45" s="318"/>
      <c r="I45" s="318"/>
      <c r="J45" s="111">
        <f>SUM(J46:M47)</f>
        <v>14562923.629999999</v>
      </c>
      <c r="K45" s="112"/>
      <c r="L45" s="112"/>
      <c r="M45" s="112"/>
      <c r="N45" s="113"/>
      <c r="O45" s="9"/>
      <c r="R45" s="103"/>
    </row>
    <row r="46" spans="2:19">
      <c r="B46" s="5"/>
      <c r="C46" s="323" t="s">
        <v>263</v>
      </c>
      <c r="D46" s="322"/>
      <c r="E46" s="322"/>
      <c r="F46" s="322"/>
      <c r="G46" s="322"/>
      <c r="H46" s="322"/>
      <c r="I46" s="322"/>
      <c r="J46" s="337">
        <v>14562923.629999999</v>
      </c>
      <c r="K46" s="338"/>
      <c r="L46" s="338"/>
      <c r="M46" s="338"/>
      <c r="N46" s="339"/>
      <c r="O46" s="9"/>
      <c r="R46" s="103"/>
    </row>
    <row r="47" spans="2:19">
      <c r="B47" s="5"/>
      <c r="C47" s="340" t="s">
        <v>264</v>
      </c>
      <c r="D47" s="332"/>
      <c r="E47" s="332"/>
      <c r="F47" s="332"/>
      <c r="G47" s="332"/>
      <c r="H47" s="332"/>
      <c r="I47" s="332"/>
      <c r="J47" s="327">
        <v>0</v>
      </c>
      <c r="K47" s="328"/>
      <c r="L47" s="328"/>
      <c r="M47" s="328"/>
      <c r="N47" s="341"/>
      <c r="O47" s="9"/>
      <c r="R47" s="103"/>
      <c r="S47" s="101"/>
    </row>
    <row r="48" spans="2:19">
      <c r="B48" s="5"/>
      <c r="C48" s="342" t="s">
        <v>265</v>
      </c>
      <c r="D48" s="343"/>
      <c r="E48" s="343"/>
      <c r="F48" s="343"/>
      <c r="G48" s="343"/>
      <c r="H48" s="343"/>
      <c r="I48" s="343"/>
      <c r="J48" s="343"/>
      <c r="K48" s="343"/>
      <c r="L48" s="343"/>
      <c r="M48" s="343"/>
      <c r="N48" s="344"/>
      <c r="O48" s="9"/>
    </row>
    <row r="49" spans="2:18" ht="15" thickBot="1">
      <c r="B49" s="5"/>
      <c r="C49" s="243" t="s">
        <v>266</v>
      </c>
      <c r="D49" s="345"/>
      <c r="E49" s="345"/>
      <c r="F49" s="345"/>
      <c r="G49" s="345"/>
      <c r="H49" s="345"/>
      <c r="I49" s="346"/>
      <c r="J49" s="347">
        <v>599284371.26999986</v>
      </c>
      <c r="K49" s="347"/>
      <c r="L49" s="347"/>
      <c r="M49" s="347"/>
      <c r="N49" s="348"/>
      <c r="O49" s="9"/>
      <c r="Q49" s="103"/>
      <c r="R49" s="103"/>
    </row>
    <row r="50" spans="2:18" ht="15" thickBot="1">
      <c r="B50" s="5"/>
      <c r="C50" s="349"/>
      <c r="D50" s="349"/>
      <c r="E50" s="349"/>
      <c r="F50" s="349"/>
      <c r="G50" s="349"/>
      <c r="H50" s="349"/>
      <c r="I50" s="349"/>
      <c r="J50" s="349"/>
      <c r="K50" s="349"/>
      <c r="L50" s="349"/>
      <c r="M50" s="349"/>
      <c r="N50" s="349"/>
      <c r="O50" s="9"/>
      <c r="Q50" s="103"/>
    </row>
    <row r="51" spans="2:18">
      <c r="B51" s="5"/>
      <c r="C51" s="88" t="s">
        <v>267</v>
      </c>
      <c r="D51" s="89"/>
      <c r="E51" s="89"/>
      <c r="F51" s="89"/>
      <c r="G51" s="89"/>
      <c r="H51" s="89"/>
      <c r="I51" s="89"/>
      <c r="J51" s="89"/>
      <c r="K51" s="89"/>
      <c r="L51" s="89"/>
      <c r="M51" s="89"/>
      <c r="N51" s="90"/>
      <c r="O51" s="9"/>
    </row>
    <row r="52" spans="2:18">
      <c r="B52" s="5"/>
      <c r="C52" s="350"/>
      <c r="D52" s="230"/>
      <c r="E52" s="230"/>
      <c r="F52" s="230"/>
      <c r="G52" s="230"/>
      <c r="H52" s="230"/>
      <c r="I52" s="57" t="s">
        <v>268</v>
      </c>
      <c r="J52" s="255"/>
      <c r="K52" s="58"/>
      <c r="L52" s="57" t="s">
        <v>269</v>
      </c>
      <c r="M52" s="255"/>
      <c r="N52" s="59"/>
      <c r="O52" s="9"/>
    </row>
    <row r="53" spans="2:18">
      <c r="B53" s="5"/>
      <c r="C53" s="151" t="s">
        <v>270</v>
      </c>
      <c r="D53" s="351"/>
      <c r="E53" s="351"/>
      <c r="F53" s="351"/>
      <c r="G53" s="351"/>
      <c r="H53" s="351"/>
      <c r="I53" s="111">
        <f>I63-I54-I58</f>
        <v>626271290.77049994</v>
      </c>
      <c r="J53" s="112"/>
      <c r="K53" s="113"/>
      <c r="L53" s="111">
        <f>L63-L54-L58</f>
        <v>594366799.71999991</v>
      </c>
      <c r="M53" s="112"/>
      <c r="N53" s="113"/>
      <c r="O53" s="9"/>
    </row>
    <row r="54" spans="2:18">
      <c r="B54" s="5"/>
      <c r="C54" s="125" t="s">
        <v>271</v>
      </c>
      <c r="D54" s="352"/>
      <c r="E54" s="352"/>
      <c r="F54" s="352"/>
      <c r="G54" s="352"/>
      <c r="H54" s="352"/>
      <c r="I54" s="111">
        <f>SUM(I55:J57)</f>
        <v>18730426.751000002</v>
      </c>
      <c r="J54" s="112"/>
      <c r="K54" s="353"/>
      <c r="L54" s="111">
        <f>SUM(L55:M57)</f>
        <v>4917571.55</v>
      </c>
      <c r="M54" s="112"/>
      <c r="N54" s="113"/>
      <c r="O54" s="9"/>
    </row>
    <row r="55" spans="2:18">
      <c r="B55" s="5"/>
      <c r="C55" s="79" t="s">
        <v>272</v>
      </c>
      <c r="D55" s="354"/>
      <c r="E55" s="354"/>
      <c r="F55" s="354"/>
      <c r="G55" s="354"/>
      <c r="H55" s="354"/>
      <c r="I55" s="324">
        <v>11416461.01</v>
      </c>
      <c r="J55" s="325"/>
      <c r="K55" s="355"/>
      <c r="L55" s="324">
        <v>3813410.55</v>
      </c>
      <c r="M55" s="325"/>
      <c r="N55" s="326"/>
      <c r="O55" s="9"/>
    </row>
    <row r="56" spans="2:18">
      <c r="B56" s="5"/>
      <c r="C56" s="356" t="s">
        <v>273</v>
      </c>
      <c r="D56" s="354"/>
      <c r="E56" s="354"/>
      <c r="F56" s="354"/>
      <c r="G56" s="354"/>
      <c r="H56" s="354"/>
      <c r="I56" s="324">
        <v>7313965.7410000004</v>
      </c>
      <c r="J56" s="325"/>
      <c r="K56" s="355"/>
      <c r="L56" s="324">
        <v>1104161</v>
      </c>
      <c r="M56" s="325"/>
      <c r="N56" s="326"/>
      <c r="O56" s="9"/>
    </row>
    <row r="57" spans="2:18">
      <c r="B57" s="5"/>
      <c r="C57" s="357" t="s">
        <v>274</v>
      </c>
      <c r="D57" s="358"/>
      <c r="E57" s="358"/>
      <c r="F57" s="358"/>
      <c r="G57" s="358"/>
      <c r="H57" s="358"/>
      <c r="I57" s="327">
        <v>0</v>
      </c>
      <c r="J57" s="328"/>
      <c r="K57" s="359"/>
      <c r="L57" s="327">
        <v>0</v>
      </c>
      <c r="M57" s="328"/>
      <c r="N57" s="329"/>
      <c r="O57" s="9"/>
    </row>
    <row r="58" spans="2:18">
      <c r="B58" s="5"/>
      <c r="C58" s="360" t="s">
        <v>275</v>
      </c>
      <c r="D58" s="352"/>
      <c r="E58" s="352"/>
      <c r="F58" s="352"/>
      <c r="G58" s="352"/>
      <c r="H58" s="352"/>
      <c r="I58" s="111">
        <f>SUM(I59:J62)</f>
        <v>0</v>
      </c>
      <c r="J58" s="112"/>
      <c r="K58" s="353"/>
      <c r="L58" s="111">
        <f>SUM(L59:M62)</f>
        <v>0</v>
      </c>
      <c r="M58" s="112"/>
      <c r="N58" s="113"/>
      <c r="O58" s="9"/>
    </row>
    <row r="59" spans="2:18">
      <c r="B59" s="5"/>
      <c r="C59" s="356" t="s">
        <v>276</v>
      </c>
      <c r="D59" s="354"/>
      <c r="E59" s="354"/>
      <c r="F59" s="354"/>
      <c r="G59" s="354"/>
      <c r="H59" s="354"/>
      <c r="I59" s="324">
        <v>0</v>
      </c>
      <c r="J59" s="325"/>
      <c r="K59" s="355"/>
      <c r="L59" s="324">
        <v>0</v>
      </c>
      <c r="M59" s="325"/>
      <c r="N59" s="326"/>
      <c r="O59" s="9"/>
    </row>
    <row r="60" spans="2:18">
      <c r="B60" s="5"/>
      <c r="C60" s="356" t="s">
        <v>277</v>
      </c>
      <c r="D60" s="354"/>
      <c r="E60" s="354"/>
      <c r="F60" s="354"/>
      <c r="G60" s="354"/>
      <c r="H60" s="354"/>
      <c r="I60" s="324">
        <v>0</v>
      </c>
      <c r="J60" s="325"/>
      <c r="K60" s="355"/>
      <c r="L60" s="324">
        <v>0</v>
      </c>
      <c r="M60" s="325"/>
      <c r="N60" s="326"/>
      <c r="O60" s="9"/>
    </row>
    <row r="61" spans="2:18">
      <c r="B61" s="5"/>
      <c r="C61" s="356" t="s">
        <v>278</v>
      </c>
      <c r="D61" s="354"/>
      <c r="E61" s="354"/>
      <c r="F61" s="354"/>
      <c r="G61" s="354"/>
      <c r="H61" s="354"/>
      <c r="I61" s="324">
        <v>0</v>
      </c>
      <c r="J61" s="325"/>
      <c r="K61" s="355"/>
      <c r="L61" s="324">
        <v>0</v>
      </c>
      <c r="M61" s="325"/>
      <c r="N61" s="326"/>
      <c r="O61" s="9"/>
    </row>
    <row r="62" spans="2:18">
      <c r="B62" s="5"/>
      <c r="C62" s="357" t="s">
        <v>279</v>
      </c>
      <c r="D62" s="358"/>
      <c r="E62" s="358"/>
      <c r="F62" s="358"/>
      <c r="G62" s="358"/>
      <c r="H62" s="358"/>
      <c r="I62" s="327">
        <v>0</v>
      </c>
      <c r="J62" s="328"/>
      <c r="K62" s="359"/>
      <c r="L62" s="327">
        <v>0</v>
      </c>
      <c r="M62" s="328"/>
      <c r="N62" s="329"/>
      <c r="O62" s="9"/>
    </row>
    <row r="63" spans="2:18" ht="15" thickBot="1">
      <c r="B63" s="5"/>
      <c r="C63" s="155" t="s">
        <v>280</v>
      </c>
      <c r="D63" s="361"/>
      <c r="E63" s="361"/>
      <c r="F63" s="361"/>
      <c r="G63" s="361"/>
      <c r="H63" s="361"/>
      <c r="I63" s="362">
        <v>645001717.52149999</v>
      </c>
      <c r="J63" s="363"/>
      <c r="K63" s="364"/>
      <c r="L63" s="362">
        <f>J49</f>
        <v>599284371.26999986</v>
      </c>
      <c r="M63" s="363"/>
      <c r="N63" s="365"/>
      <c r="O63" s="9"/>
    </row>
    <row r="64" spans="2:18" ht="15" thickBot="1">
      <c r="B64" s="5"/>
      <c r="C64" s="349"/>
      <c r="D64" s="349"/>
      <c r="E64" s="349"/>
      <c r="F64" s="349"/>
      <c r="G64" s="349"/>
      <c r="H64" s="349"/>
      <c r="I64" s="349"/>
      <c r="J64" s="349"/>
      <c r="K64" s="349"/>
      <c r="L64" s="349"/>
      <c r="M64" s="349"/>
      <c r="N64" s="349"/>
      <c r="O64" s="9"/>
    </row>
    <row r="65" spans="2:15">
      <c r="B65" s="5"/>
      <c r="C65" s="88" t="s">
        <v>281</v>
      </c>
      <c r="D65" s="89"/>
      <c r="E65" s="89"/>
      <c r="F65" s="89"/>
      <c r="G65" s="89"/>
      <c r="H65" s="89"/>
      <c r="I65" s="89"/>
      <c r="J65" s="89"/>
      <c r="K65" s="89"/>
      <c r="L65" s="89"/>
      <c r="M65" s="89"/>
      <c r="N65" s="90"/>
      <c r="O65" s="9"/>
    </row>
    <row r="66" spans="2:15">
      <c r="B66" s="5"/>
      <c r="C66" s="366"/>
      <c r="D66" s="335"/>
      <c r="E66" s="335"/>
      <c r="F66" s="57" t="s">
        <v>115</v>
      </c>
      <c r="G66" s="255"/>
      <c r="H66" s="58"/>
      <c r="I66" s="57" t="s">
        <v>282</v>
      </c>
      <c r="J66" s="255"/>
      <c r="K66" s="58"/>
      <c r="L66" s="57" t="s">
        <v>283</v>
      </c>
      <c r="M66" s="255"/>
      <c r="N66" s="59"/>
      <c r="O66" s="9"/>
    </row>
    <row r="67" spans="2:15">
      <c r="B67" s="5"/>
      <c r="C67" s="151" t="s">
        <v>284</v>
      </c>
      <c r="D67" s="335"/>
      <c r="E67" s="336"/>
      <c r="F67" s="367" t="s">
        <v>285</v>
      </c>
      <c r="G67" s="368"/>
      <c r="H67" s="369"/>
      <c r="I67" s="370">
        <v>0.58381784043771545</v>
      </c>
      <c r="J67" s="371"/>
      <c r="K67" s="372"/>
      <c r="L67" s="373">
        <v>0.58493331990503949</v>
      </c>
      <c r="M67" s="374"/>
      <c r="N67" s="375"/>
      <c r="O67" s="9"/>
    </row>
    <row r="68" spans="2:15">
      <c r="B68" s="5"/>
      <c r="C68" s="151" t="s">
        <v>286</v>
      </c>
      <c r="D68" s="335"/>
      <c r="E68" s="336"/>
      <c r="F68" s="376" t="s">
        <v>287</v>
      </c>
      <c r="G68" s="368"/>
      <c r="H68" s="369"/>
      <c r="I68" s="370">
        <v>0.17677410918863032</v>
      </c>
      <c r="J68" s="371"/>
      <c r="K68" s="372"/>
      <c r="L68" s="373">
        <v>0.13903434830684228</v>
      </c>
      <c r="M68" s="377"/>
      <c r="N68" s="378"/>
      <c r="O68" s="9"/>
    </row>
    <row r="69" spans="2:15">
      <c r="B69" s="5"/>
      <c r="C69" s="151" t="s">
        <v>288</v>
      </c>
      <c r="D69" s="335"/>
      <c r="E69" s="336"/>
      <c r="F69" s="376" t="s">
        <v>289</v>
      </c>
      <c r="G69" s="368"/>
      <c r="H69" s="369"/>
      <c r="I69" s="379">
        <v>36.425101181876855</v>
      </c>
      <c r="J69" s="380"/>
      <c r="K69" s="438"/>
      <c r="L69" s="379">
        <v>38.780545403059158</v>
      </c>
      <c r="M69" s="380"/>
      <c r="N69" s="381"/>
      <c r="O69" s="9"/>
    </row>
    <row r="70" spans="2:15">
      <c r="B70" s="5"/>
      <c r="C70" s="131" t="s">
        <v>290</v>
      </c>
      <c r="D70" s="354"/>
      <c r="E70" s="354"/>
      <c r="F70" s="382" t="s">
        <v>291</v>
      </c>
      <c r="G70" s="383"/>
      <c r="H70" s="384"/>
      <c r="I70" s="385">
        <v>3.4148604541589203E-2</v>
      </c>
      <c r="J70" s="386"/>
      <c r="K70" s="387"/>
      <c r="L70" s="373">
        <v>3.3165326676918017E-2</v>
      </c>
      <c r="M70" s="377"/>
      <c r="N70" s="378"/>
      <c r="O70" s="9"/>
    </row>
    <row r="71" spans="2:15">
      <c r="B71" s="5"/>
      <c r="C71" s="151" t="s">
        <v>292</v>
      </c>
      <c r="D71" s="351"/>
      <c r="E71" s="388"/>
      <c r="F71" s="389">
        <v>0.22</v>
      </c>
      <c r="G71" s="390">
        <v>0.22</v>
      </c>
      <c r="H71" s="391">
        <v>0.22</v>
      </c>
      <c r="I71" s="370">
        <v>0.21335888361477545</v>
      </c>
      <c r="J71" s="371"/>
      <c r="K71" s="372"/>
      <c r="L71" s="370">
        <v>0.22832249683072897</v>
      </c>
      <c r="M71" s="371"/>
      <c r="N71" s="392"/>
      <c r="O71" s="9"/>
    </row>
    <row r="72" spans="2:15">
      <c r="B72" s="5"/>
      <c r="C72" s="151" t="s">
        <v>293</v>
      </c>
      <c r="D72" s="354"/>
      <c r="E72" s="354"/>
      <c r="F72" s="389">
        <v>0.27</v>
      </c>
      <c r="G72" s="390">
        <v>0.27</v>
      </c>
      <c r="H72" s="391">
        <v>0.27</v>
      </c>
      <c r="I72" s="370">
        <v>0.25722767425726983</v>
      </c>
      <c r="J72" s="371"/>
      <c r="K72" s="372"/>
      <c r="L72" s="370">
        <v>0.27512165159687957</v>
      </c>
      <c r="M72" s="371"/>
      <c r="N72" s="392"/>
      <c r="O72" s="9"/>
    </row>
    <row r="73" spans="2:15">
      <c r="B73" s="5"/>
      <c r="C73" s="151" t="s">
        <v>294</v>
      </c>
      <c r="D73" s="351"/>
      <c r="E73" s="388"/>
      <c r="F73" s="389">
        <v>0.32</v>
      </c>
      <c r="G73" s="390">
        <v>0.32</v>
      </c>
      <c r="H73" s="391">
        <v>0.32</v>
      </c>
      <c r="I73" s="370">
        <v>0.29761408079289536</v>
      </c>
      <c r="J73" s="371"/>
      <c r="K73" s="372"/>
      <c r="L73" s="370">
        <v>0.3181827562529419</v>
      </c>
      <c r="M73" s="371"/>
      <c r="N73" s="392"/>
      <c r="O73" s="9"/>
    </row>
    <row r="74" spans="2:15">
      <c r="B74" s="5"/>
      <c r="C74" s="151" t="s">
        <v>295</v>
      </c>
      <c r="D74" s="351"/>
      <c r="E74" s="388"/>
      <c r="F74" s="389">
        <v>0.36</v>
      </c>
      <c r="G74" s="390">
        <v>0.36</v>
      </c>
      <c r="H74" s="391">
        <v>0.36</v>
      </c>
      <c r="I74" s="370">
        <v>0.33501156753555039</v>
      </c>
      <c r="J74" s="371"/>
      <c r="K74" s="372"/>
      <c r="L74" s="370">
        <v>0.35784787720316008</v>
      </c>
      <c r="M74" s="371"/>
      <c r="N74" s="392"/>
      <c r="O74" s="9"/>
    </row>
    <row r="75" spans="2:15" ht="15" thickBot="1">
      <c r="B75" s="5"/>
      <c r="C75" s="155" t="s">
        <v>296</v>
      </c>
      <c r="D75" s="361"/>
      <c r="E75" s="361"/>
      <c r="F75" s="393">
        <v>0.47</v>
      </c>
      <c r="G75" s="394">
        <v>0.47</v>
      </c>
      <c r="H75" s="395">
        <v>0.47</v>
      </c>
      <c r="I75" s="396">
        <v>0.37142250434707474</v>
      </c>
      <c r="J75" s="397"/>
      <c r="K75" s="398"/>
      <c r="L75" s="396">
        <v>0.39613137844211271</v>
      </c>
      <c r="M75" s="397"/>
      <c r="N75" s="399"/>
      <c r="O75" s="9"/>
    </row>
    <row r="76" spans="2:15" ht="15" thickBot="1">
      <c r="B76" s="5"/>
      <c r="C76" s="349"/>
      <c r="D76" s="349"/>
      <c r="E76" s="349"/>
      <c r="F76" s="349"/>
      <c r="G76" s="349"/>
      <c r="H76" s="349"/>
      <c r="I76" s="349"/>
      <c r="J76" s="349"/>
      <c r="K76" s="349"/>
      <c r="L76" s="349"/>
      <c r="M76" s="349"/>
      <c r="N76" s="349"/>
      <c r="O76" s="9"/>
    </row>
    <row r="77" spans="2:15">
      <c r="B77" s="5"/>
      <c r="C77" s="88" t="s">
        <v>297</v>
      </c>
      <c r="D77" s="89"/>
      <c r="E77" s="89"/>
      <c r="F77" s="89"/>
      <c r="G77" s="235"/>
      <c r="H77" s="235"/>
      <c r="I77" s="89"/>
      <c r="J77" s="89"/>
      <c r="K77" s="89"/>
      <c r="L77" s="89"/>
      <c r="M77" s="89"/>
      <c r="N77" s="90"/>
      <c r="O77" s="9"/>
    </row>
    <row r="78" spans="2:15">
      <c r="B78" s="5"/>
      <c r="C78" s="400" t="s">
        <v>298</v>
      </c>
      <c r="D78" s="351"/>
      <c r="E78" s="351"/>
      <c r="F78" s="351"/>
      <c r="G78" s="57" t="s">
        <v>299</v>
      </c>
      <c r="H78" s="58"/>
      <c r="I78" s="57" t="s">
        <v>300</v>
      </c>
      <c r="J78" s="58"/>
      <c r="K78" s="57" t="s">
        <v>301</v>
      </c>
      <c r="L78" s="58"/>
      <c r="M78" s="255" t="s">
        <v>302</v>
      </c>
      <c r="N78" s="58"/>
      <c r="O78" s="9"/>
    </row>
    <row r="79" spans="2:15">
      <c r="B79" s="5"/>
      <c r="C79" s="401" t="s">
        <v>303</v>
      </c>
      <c r="D79" s="322"/>
      <c r="E79" s="322"/>
      <c r="F79" s="322"/>
      <c r="G79" s="402">
        <v>354821281.69999987</v>
      </c>
      <c r="H79" s="403"/>
      <c r="I79" s="404">
        <f ca="1">G79/$G$84</f>
        <v>0.59207497927580632</v>
      </c>
      <c r="J79" s="405"/>
      <c r="K79" s="402">
        <v>74</v>
      </c>
      <c r="L79" s="403"/>
      <c r="M79" s="404">
        <f>K79/$K$84</f>
        <v>0.70476190476190481</v>
      </c>
      <c r="N79" s="405"/>
      <c r="O79" s="9"/>
    </row>
    <row r="80" spans="2:15">
      <c r="B80" s="5"/>
      <c r="C80" s="401" t="s">
        <v>304</v>
      </c>
      <c r="D80" s="322"/>
      <c r="E80" s="322"/>
      <c r="F80" s="322"/>
      <c r="G80" s="402">
        <v>183807440.63999999</v>
      </c>
      <c r="H80" s="403"/>
      <c r="I80" s="404">
        <f t="shared" ref="I80:I83" ca="1" si="0">G80/$G$84</f>
        <v>0.30671155373279019</v>
      </c>
      <c r="J80" s="405"/>
      <c r="K80" s="402">
        <v>14</v>
      </c>
      <c r="L80" s="403"/>
      <c r="M80" s="404">
        <f t="shared" ref="M80:M83" si="1">K80/$K$84</f>
        <v>0.13333333333333333</v>
      </c>
      <c r="N80" s="405"/>
      <c r="O80" s="9"/>
    </row>
    <row r="81" spans="2:15">
      <c r="B81" s="5"/>
      <c r="C81" s="401" t="s">
        <v>305</v>
      </c>
      <c r="D81" s="322"/>
      <c r="E81" s="322"/>
      <c r="F81" s="322"/>
      <c r="G81" s="402">
        <v>4575032.0999999996</v>
      </c>
      <c r="H81" s="403"/>
      <c r="I81" s="404">
        <f t="shared" ca="1" si="0"/>
        <v>7.6341588723640797E-3</v>
      </c>
      <c r="J81" s="405"/>
      <c r="K81" s="402">
        <v>2</v>
      </c>
      <c r="L81" s="403"/>
      <c r="M81" s="404">
        <f t="shared" si="1"/>
        <v>1.9047619047619049E-2</v>
      </c>
      <c r="N81" s="405"/>
      <c r="O81" s="9"/>
    </row>
    <row r="82" spans="2:15">
      <c r="B82" s="5"/>
      <c r="C82" s="401" t="s">
        <v>306</v>
      </c>
      <c r="D82" s="322"/>
      <c r="E82" s="322"/>
      <c r="F82" s="322"/>
      <c r="G82" s="402">
        <v>5382793.4800000004</v>
      </c>
      <c r="H82" s="403"/>
      <c r="I82" s="404">
        <f t="shared" ca="1" si="0"/>
        <v>8.9820354710616196E-3</v>
      </c>
      <c r="J82" s="405"/>
      <c r="K82" s="402">
        <v>2</v>
      </c>
      <c r="L82" s="403"/>
      <c r="M82" s="404">
        <f t="shared" si="1"/>
        <v>1.9047619047619049E-2</v>
      </c>
      <c r="N82" s="405"/>
      <c r="O82" s="9"/>
    </row>
    <row r="83" spans="2:15">
      <c r="B83" s="5"/>
      <c r="C83" s="401" t="s">
        <v>307</v>
      </c>
      <c r="D83" s="322"/>
      <c r="E83" s="322"/>
      <c r="F83" s="322"/>
      <c r="G83" s="406">
        <v>50697823.350000009</v>
      </c>
      <c r="H83" s="407"/>
      <c r="I83" s="404">
        <f t="shared" ca="1" si="0"/>
        <v>8.4597272647977576E-2</v>
      </c>
      <c r="J83" s="405"/>
      <c r="K83" s="402">
        <v>13</v>
      </c>
      <c r="L83" s="403"/>
      <c r="M83" s="404">
        <f t="shared" si="1"/>
        <v>0.12380952380952381</v>
      </c>
      <c r="N83" s="405"/>
      <c r="O83" s="9"/>
    </row>
    <row r="84" spans="2:15">
      <c r="B84" s="5"/>
      <c r="C84" s="400" t="s">
        <v>308</v>
      </c>
      <c r="D84" s="351"/>
      <c r="E84" s="351"/>
      <c r="F84" s="351"/>
      <c r="G84" s="408">
        <f ca="1">SUM(G79:H83)</f>
        <v>599284371.26999998</v>
      </c>
      <c r="H84" s="409"/>
      <c r="I84" s="410">
        <f ca="1">SUM(I79:J83)</f>
        <v>0.99999999999999967</v>
      </c>
      <c r="J84" s="411"/>
      <c r="K84" s="412">
        <f>SUM(K79:L83)</f>
        <v>105</v>
      </c>
      <c r="L84" s="413"/>
      <c r="M84" s="414">
        <f>SUM(M79:N83)</f>
        <v>1</v>
      </c>
      <c r="N84" s="413"/>
      <c r="O84" s="9"/>
    </row>
    <row r="85" spans="2:15">
      <c r="B85" s="5"/>
      <c r="C85" s="349"/>
      <c r="D85" s="349"/>
      <c r="E85" s="349"/>
      <c r="F85" s="349"/>
      <c r="G85" s="349"/>
      <c r="H85" s="349"/>
      <c r="I85" s="349"/>
      <c r="J85" s="349"/>
      <c r="K85" s="349"/>
      <c r="L85" s="349"/>
      <c r="M85" s="349"/>
      <c r="N85" s="349"/>
      <c r="O85" s="9"/>
    </row>
    <row r="86" spans="2:15">
      <c r="B86" s="5"/>
      <c r="C86" s="400" t="s">
        <v>309</v>
      </c>
      <c r="D86" s="351"/>
      <c r="E86" s="351"/>
      <c r="F86" s="351"/>
      <c r="G86" s="57" t="s">
        <v>299</v>
      </c>
      <c r="H86" s="58"/>
      <c r="I86" s="57" t="s">
        <v>300</v>
      </c>
      <c r="J86" s="58"/>
      <c r="K86" s="57" t="s">
        <v>301</v>
      </c>
      <c r="L86" s="58"/>
      <c r="M86" s="255" t="s">
        <v>302</v>
      </c>
      <c r="N86" s="58"/>
      <c r="O86" s="9"/>
    </row>
    <row r="87" spans="2:15">
      <c r="B87" s="5"/>
      <c r="C87" s="401" t="s">
        <v>310</v>
      </c>
      <c r="D87" s="322"/>
      <c r="E87" s="322"/>
      <c r="F87" s="322"/>
      <c r="G87" s="402">
        <v>12799318.5</v>
      </c>
      <c r="H87" s="403"/>
      <c r="I87" s="404">
        <f>G87/$G$92</f>
        <v>2.1396875328915224E-2</v>
      </c>
      <c r="J87" s="405"/>
      <c r="K87" s="402">
        <v>4</v>
      </c>
      <c r="L87" s="403"/>
      <c r="M87" s="415">
        <f>K87/$K$92</f>
        <v>3.8461538461538464E-2</v>
      </c>
      <c r="N87" s="416"/>
      <c r="O87" s="9"/>
    </row>
    <row r="88" spans="2:15">
      <c r="B88" s="5"/>
      <c r="C88" s="401" t="s">
        <v>311</v>
      </c>
      <c r="D88" s="322"/>
      <c r="E88" s="322"/>
      <c r="F88" s="322"/>
      <c r="G88" s="402">
        <v>100043994.70999999</v>
      </c>
      <c r="H88" s="403"/>
      <c r="I88" s="404">
        <f t="shared" ref="I88:I91" si="2">G88/$G$92</f>
        <v>0.16724553594134905</v>
      </c>
      <c r="J88" s="405"/>
      <c r="K88" s="402">
        <v>29</v>
      </c>
      <c r="L88" s="403"/>
      <c r="M88" s="404">
        <f t="shared" ref="M88:M91" si="3">K88/$K$92</f>
        <v>0.27884615384615385</v>
      </c>
      <c r="N88" s="405"/>
      <c r="O88" s="9"/>
    </row>
    <row r="89" spans="2:15">
      <c r="B89" s="5"/>
      <c r="C89" s="401" t="s">
        <v>312</v>
      </c>
      <c r="D89" s="322"/>
      <c r="E89" s="322"/>
      <c r="F89" s="322"/>
      <c r="G89" s="402">
        <v>152721807.53000003</v>
      </c>
      <c r="H89" s="403"/>
      <c r="I89" s="404">
        <f t="shared" si="2"/>
        <v>0.25530808345194295</v>
      </c>
      <c r="J89" s="405"/>
      <c r="K89" s="402">
        <v>33</v>
      </c>
      <c r="L89" s="403"/>
      <c r="M89" s="404">
        <f t="shared" si="3"/>
        <v>0.31730769230769229</v>
      </c>
      <c r="N89" s="405"/>
      <c r="O89" s="9"/>
    </row>
    <row r="90" spans="2:15">
      <c r="B90" s="5"/>
      <c r="C90" s="401" t="s">
        <v>313</v>
      </c>
      <c r="D90" s="322"/>
      <c r="E90" s="322"/>
      <c r="F90" s="322"/>
      <c r="G90" s="402">
        <v>249300105.35999984</v>
      </c>
      <c r="H90" s="403"/>
      <c r="I90" s="404">
        <f t="shared" si="2"/>
        <v>0.41675994498248842</v>
      </c>
      <c r="J90" s="405"/>
      <c r="K90" s="402">
        <v>27</v>
      </c>
      <c r="L90" s="403"/>
      <c r="M90" s="404">
        <f t="shared" si="3"/>
        <v>0.25961538461538464</v>
      </c>
      <c r="N90" s="405"/>
      <c r="O90" s="9"/>
    </row>
    <row r="91" spans="2:15">
      <c r="B91" s="5"/>
      <c r="C91" s="401" t="s">
        <v>314</v>
      </c>
      <c r="D91" s="322"/>
      <c r="E91" s="322"/>
      <c r="F91" s="322"/>
      <c r="G91" s="406">
        <v>83321112.010000169</v>
      </c>
      <c r="H91" s="407"/>
      <c r="I91" s="404">
        <f t="shared" si="2"/>
        <v>0.13928956029530437</v>
      </c>
      <c r="J91" s="405"/>
      <c r="K91" s="402">
        <v>11</v>
      </c>
      <c r="L91" s="403"/>
      <c r="M91" s="417">
        <f t="shared" si="3"/>
        <v>0.10576923076923077</v>
      </c>
      <c r="N91" s="418"/>
      <c r="O91" s="9"/>
    </row>
    <row r="92" spans="2:15">
      <c r="B92" s="5"/>
      <c r="C92" s="400" t="s">
        <v>308</v>
      </c>
      <c r="D92" s="351"/>
      <c r="E92" s="351"/>
      <c r="F92" s="351"/>
      <c r="G92" s="408">
        <f>SUM(G87:H91)</f>
        <v>598186338.11000001</v>
      </c>
      <c r="H92" s="409"/>
      <c r="I92" s="414">
        <f>SUM(I87:J91)</f>
        <v>1</v>
      </c>
      <c r="J92" s="419"/>
      <c r="K92" s="420">
        <f>SUM(K87:L91)</f>
        <v>104</v>
      </c>
      <c r="L92" s="421"/>
      <c r="M92" s="410">
        <f>SUM(M87:N91)</f>
        <v>0.99999999999999989</v>
      </c>
      <c r="N92" s="411"/>
      <c r="O92" s="9"/>
    </row>
    <row r="93" spans="2:15">
      <c r="B93" s="5"/>
      <c r="C93" s="13"/>
      <c r="D93" s="13"/>
      <c r="E93" s="13"/>
      <c r="F93" s="13"/>
      <c r="G93" s="13"/>
      <c r="H93" s="13"/>
      <c r="I93" s="13"/>
      <c r="J93" s="13"/>
      <c r="K93" s="13"/>
      <c r="L93" s="13"/>
      <c r="M93" s="13"/>
      <c r="N93" s="13"/>
      <c r="O93" s="9"/>
    </row>
    <row r="94" spans="2:15">
      <c r="B94" s="5"/>
      <c r="C94" s="400" t="s">
        <v>315</v>
      </c>
      <c r="D94" s="351"/>
      <c r="E94" s="351"/>
      <c r="F94" s="351"/>
      <c r="G94" s="57" t="s">
        <v>299</v>
      </c>
      <c r="H94" s="58"/>
      <c r="I94" s="255" t="s">
        <v>300</v>
      </c>
      <c r="J94" s="58"/>
      <c r="K94" s="57" t="s">
        <v>301</v>
      </c>
      <c r="L94" s="58"/>
      <c r="M94" s="422" t="s">
        <v>302</v>
      </c>
      <c r="N94" s="423"/>
      <c r="O94" s="9"/>
    </row>
    <row r="95" spans="2:15">
      <c r="B95" s="5"/>
      <c r="C95" s="401">
        <v>2007</v>
      </c>
      <c r="D95" s="322"/>
      <c r="E95" s="322"/>
      <c r="F95" s="322"/>
      <c r="G95" s="402">
        <v>0</v>
      </c>
      <c r="H95" s="403"/>
      <c r="I95" s="424">
        <f>G95/$G$110</f>
        <v>0</v>
      </c>
      <c r="J95" s="405"/>
      <c r="K95" s="402">
        <v>0</v>
      </c>
      <c r="L95" s="425"/>
      <c r="M95" s="426">
        <f>K95/$K$110</f>
        <v>0</v>
      </c>
      <c r="N95" s="416"/>
      <c r="O95" s="9"/>
    </row>
    <row r="96" spans="2:15">
      <c r="B96" s="5"/>
      <c r="C96" s="401">
        <v>2008</v>
      </c>
      <c r="D96" s="322"/>
      <c r="E96" s="322"/>
      <c r="F96" s="322"/>
      <c r="G96" s="402">
        <v>0</v>
      </c>
      <c r="H96" s="403"/>
      <c r="I96" s="424">
        <f t="shared" ref="I96:I109" si="4">G96/$G$110</f>
        <v>0</v>
      </c>
      <c r="J96" s="405"/>
      <c r="K96" s="402">
        <v>0</v>
      </c>
      <c r="L96" s="425"/>
      <c r="M96" s="404">
        <f t="shared" ref="M96:M109" si="5">K96/$K$110</f>
        <v>0</v>
      </c>
      <c r="N96" s="405"/>
      <c r="O96" s="9"/>
    </row>
    <row r="97" spans="2:15">
      <c r="B97" s="5"/>
      <c r="C97" s="401">
        <v>2009</v>
      </c>
      <c r="D97" s="322"/>
      <c r="E97" s="322"/>
      <c r="F97" s="322"/>
      <c r="G97" s="402">
        <v>0</v>
      </c>
      <c r="H97" s="403"/>
      <c r="I97" s="424">
        <f t="shared" si="4"/>
        <v>0</v>
      </c>
      <c r="J97" s="405"/>
      <c r="K97" s="402">
        <v>0</v>
      </c>
      <c r="L97" s="425"/>
      <c r="M97" s="404">
        <f t="shared" si="5"/>
        <v>0</v>
      </c>
      <c r="N97" s="405"/>
      <c r="O97" s="9"/>
    </row>
    <row r="98" spans="2:15">
      <c r="B98" s="5"/>
      <c r="C98" s="401">
        <v>2010</v>
      </c>
      <c r="D98" s="322"/>
      <c r="E98" s="322"/>
      <c r="F98" s="322"/>
      <c r="G98" s="402">
        <v>805221.28</v>
      </c>
      <c r="H98" s="403"/>
      <c r="I98" s="424">
        <f t="shared" si="4"/>
        <v>1.3436380433108569E-3</v>
      </c>
      <c r="J98" s="405"/>
      <c r="K98" s="402">
        <v>1</v>
      </c>
      <c r="L98" s="425"/>
      <c r="M98" s="404">
        <f t="shared" si="5"/>
        <v>9.5238095238095247E-3</v>
      </c>
      <c r="N98" s="405"/>
      <c r="O98" s="9"/>
    </row>
    <row r="99" spans="2:15">
      <c r="B99" s="5"/>
      <c r="C99" s="401">
        <v>2011</v>
      </c>
      <c r="D99" s="322"/>
      <c r="E99" s="322"/>
      <c r="F99" s="322"/>
      <c r="G99" s="402">
        <v>8671938.1600000001</v>
      </c>
      <c r="H99" s="403"/>
      <c r="I99" s="424">
        <f t="shared" si="4"/>
        <v>1.4470489429955394E-2</v>
      </c>
      <c r="J99" s="405"/>
      <c r="K99" s="402">
        <v>2</v>
      </c>
      <c r="L99" s="425"/>
      <c r="M99" s="404">
        <f t="shared" si="5"/>
        <v>1.9047619047619049E-2</v>
      </c>
      <c r="N99" s="405"/>
      <c r="O99" s="9"/>
    </row>
    <row r="100" spans="2:15">
      <c r="B100" s="5"/>
      <c r="C100" s="401">
        <v>2012</v>
      </c>
      <c r="D100" s="322"/>
      <c r="E100" s="322"/>
      <c r="F100" s="322"/>
      <c r="G100" s="402">
        <v>3007584.76</v>
      </c>
      <c r="H100" s="403"/>
      <c r="I100" s="424">
        <f t="shared" si="4"/>
        <v>5.0186270561775924E-3</v>
      </c>
      <c r="J100" s="405"/>
      <c r="K100" s="402">
        <v>1</v>
      </c>
      <c r="L100" s="425"/>
      <c r="M100" s="404">
        <f t="shared" si="5"/>
        <v>9.5238095238095247E-3</v>
      </c>
      <c r="N100" s="405"/>
      <c r="O100" s="9"/>
    </row>
    <row r="101" spans="2:15">
      <c r="B101" s="5"/>
      <c r="C101" s="401">
        <v>2013</v>
      </c>
      <c r="D101" s="322"/>
      <c r="E101" s="322"/>
      <c r="F101" s="322"/>
      <c r="G101" s="402">
        <v>9986973.4000000004</v>
      </c>
      <c r="H101" s="403"/>
      <c r="I101" s="424">
        <f t="shared" si="4"/>
        <v>1.6664832054331172E-2</v>
      </c>
      <c r="J101" s="405"/>
      <c r="K101" s="402">
        <v>2</v>
      </c>
      <c r="L101" s="425"/>
      <c r="M101" s="404">
        <f t="shared" si="5"/>
        <v>1.9047619047619049E-2</v>
      </c>
      <c r="N101" s="405"/>
      <c r="O101" s="9"/>
    </row>
    <row r="102" spans="2:15">
      <c r="B102" s="5"/>
      <c r="C102" s="401">
        <v>2014</v>
      </c>
      <c r="D102" s="322"/>
      <c r="E102" s="322"/>
      <c r="F102" s="322"/>
      <c r="G102" s="402">
        <v>22942703.969999999</v>
      </c>
      <c r="H102" s="403"/>
      <c r="I102" s="424">
        <f t="shared" si="4"/>
        <v>3.8283501238952633E-2</v>
      </c>
      <c r="J102" s="405"/>
      <c r="K102" s="402">
        <v>1</v>
      </c>
      <c r="L102" s="425"/>
      <c r="M102" s="404">
        <f t="shared" si="5"/>
        <v>9.5238095238095247E-3</v>
      </c>
      <c r="N102" s="405"/>
      <c r="O102" s="9"/>
    </row>
    <row r="103" spans="2:15">
      <c r="B103" s="5"/>
      <c r="C103" s="401">
        <v>2015</v>
      </c>
      <c r="D103" s="322"/>
      <c r="E103" s="322"/>
      <c r="F103" s="322"/>
      <c r="G103" s="402">
        <v>7284509.4500000002</v>
      </c>
      <c r="H103" s="403"/>
      <c r="I103" s="424">
        <f t="shared" si="4"/>
        <v>1.215534694249194E-2</v>
      </c>
      <c r="J103" s="405"/>
      <c r="K103" s="402">
        <v>6</v>
      </c>
      <c r="L103" s="425"/>
      <c r="M103" s="404">
        <f t="shared" si="5"/>
        <v>5.7142857142857141E-2</v>
      </c>
      <c r="N103" s="405"/>
      <c r="O103" s="9"/>
    </row>
    <row r="104" spans="2:15">
      <c r="B104" s="5"/>
      <c r="C104" s="401">
        <v>2016</v>
      </c>
      <c r="D104" s="322"/>
      <c r="E104" s="322"/>
      <c r="F104" s="322"/>
      <c r="G104" s="402">
        <v>18087427.699999999</v>
      </c>
      <c r="H104" s="403"/>
      <c r="I104" s="424">
        <f t="shared" si="4"/>
        <v>3.018171099918595E-2</v>
      </c>
      <c r="J104" s="405"/>
      <c r="K104" s="402">
        <v>6</v>
      </c>
      <c r="L104" s="425"/>
      <c r="M104" s="404">
        <f t="shared" si="5"/>
        <v>5.7142857142857141E-2</v>
      </c>
      <c r="N104" s="405"/>
      <c r="O104" s="9"/>
    </row>
    <row r="105" spans="2:15">
      <c r="B105" s="5"/>
      <c r="C105" s="401">
        <v>2017</v>
      </c>
      <c r="D105" s="322"/>
      <c r="E105" s="322"/>
      <c r="F105" s="322"/>
      <c r="G105" s="402">
        <v>86047067.459999993</v>
      </c>
      <c r="H105" s="403"/>
      <c r="I105" s="424">
        <f t="shared" si="4"/>
        <v>0.14358303267220124</v>
      </c>
      <c r="J105" s="405"/>
      <c r="K105" s="402">
        <v>10</v>
      </c>
      <c r="L105" s="425"/>
      <c r="M105" s="404">
        <f t="shared" si="5"/>
        <v>9.5238095238095233E-2</v>
      </c>
      <c r="N105" s="405"/>
      <c r="O105" s="9"/>
    </row>
    <row r="106" spans="2:15">
      <c r="B106" s="5"/>
      <c r="C106" s="401">
        <v>2018</v>
      </c>
      <c r="D106" s="322"/>
      <c r="E106" s="322"/>
      <c r="F106" s="322"/>
      <c r="G106" s="402">
        <v>76844996.989999995</v>
      </c>
      <c r="H106" s="403"/>
      <c r="I106" s="424">
        <f t="shared" si="4"/>
        <v>0.12822793430629686</v>
      </c>
      <c r="J106" s="405"/>
      <c r="K106" s="402">
        <v>14</v>
      </c>
      <c r="L106" s="425"/>
      <c r="M106" s="404">
        <f t="shared" si="5"/>
        <v>0.13333333333333333</v>
      </c>
      <c r="N106" s="405"/>
      <c r="O106" s="9"/>
    </row>
    <row r="107" spans="2:15">
      <c r="B107" s="5"/>
      <c r="C107" s="401">
        <v>2019</v>
      </c>
      <c r="D107" s="322"/>
      <c r="E107" s="322"/>
      <c r="F107" s="322"/>
      <c r="G107" s="402">
        <v>137610009.37000003</v>
      </c>
      <c r="H107" s="403"/>
      <c r="I107" s="424">
        <f t="shared" si="4"/>
        <v>0.22962389137293482</v>
      </c>
      <c r="J107" s="405"/>
      <c r="K107" s="402">
        <v>30</v>
      </c>
      <c r="L107" s="425"/>
      <c r="M107" s="404">
        <f t="shared" si="5"/>
        <v>0.2857142857142857</v>
      </c>
      <c r="N107" s="405"/>
      <c r="O107" s="9"/>
    </row>
    <row r="108" spans="2:15">
      <c r="B108" s="5"/>
      <c r="C108" s="401">
        <v>2020</v>
      </c>
      <c r="D108" s="322"/>
      <c r="E108" s="322"/>
      <c r="F108" s="322"/>
      <c r="G108" s="402">
        <v>181183808.68000004</v>
      </c>
      <c r="H108" s="403"/>
      <c r="I108" s="424">
        <f t="shared" si="4"/>
        <v>0.30233361216484977</v>
      </c>
      <c r="J108" s="405"/>
      <c r="K108" s="402">
        <v>25</v>
      </c>
      <c r="L108" s="425"/>
      <c r="M108" s="404">
        <f t="shared" si="5"/>
        <v>0.23809523809523808</v>
      </c>
      <c r="N108" s="405"/>
      <c r="O108" s="9"/>
    </row>
    <row r="109" spans="2:15">
      <c r="B109" s="5"/>
      <c r="C109" s="401">
        <v>2021</v>
      </c>
      <c r="D109" s="322"/>
      <c r="E109" s="322"/>
      <c r="F109" s="322"/>
      <c r="G109" s="406">
        <v>46812130.049999997</v>
      </c>
      <c r="H109" s="407"/>
      <c r="I109" s="424">
        <f t="shared" si="4"/>
        <v>7.8113383719311744E-2</v>
      </c>
      <c r="J109" s="405"/>
      <c r="K109" s="402">
        <v>7</v>
      </c>
      <c r="L109" s="425"/>
      <c r="M109" s="417">
        <f t="shared" si="5"/>
        <v>6.6666666666666666E-2</v>
      </c>
      <c r="N109" s="418"/>
      <c r="O109" s="9"/>
    </row>
    <row r="110" spans="2:15">
      <c r="B110" s="5"/>
      <c r="C110" s="400" t="s">
        <v>308</v>
      </c>
      <c r="D110" s="351"/>
      <c r="E110" s="351"/>
      <c r="F110" s="351"/>
      <c r="G110" s="427">
        <f>SUM(G95:H109)</f>
        <v>599284371.2700001</v>
      </c>
      <c r="H110" s="428"/>
      <c r="I110" s="414">
        <f>SUM(I95:J109)</f>
        <v>1</v>
      </c>
      <c r="J110" s="413"/>
      <c r="K110" s="412">
        <f>SUM(K95:L109)</f>
        <v>105</v>
      </c>
      <c r="L110" s="413"/>
      <c r="M110" s="414">
        <f>SUM(M95:N109)</f>
        <v>1</v>
      </c>
      <c r="N110" s="413"/>
      <c r="O110" s="9"/>
    </row>
    <row r="111" spans="2:15">
      <c r="B111" s="5"/>
      <c r="C111" s="13"/>
      <c r="D111" s="13"/>
      <c r="E111" s="13"/>
      <c r="F111" s="13"/>
      <c r="G111" s="13"/>
      <c r="H111" s="13"/>
      <c r="I111" s="13"/>
      <c r="J111" s="13"/>
      <c r="K111" s="13"/>
      <c r="L111" s="13"/>
      <c r="M111" s="13"/>
      <c r="N111" s="13"/>
      <c r="O111" s="9"/>
    </row>
    <row r="112" spans="2:15">
      <c r="B112" s="5"/>
      <c r="C112" s="400" t="s">
        <v>316</v>
      </c>
      <c r="D112" s="351"/>
      <c r="E112" s="351"/>
      <c r="F112" s="351"/>
      <c r="G112" s="57" t="s">
        <v>299</v>
      </c>
      <c r="H112" s="58"/>
      <c r="I112" s="57" t="s">
        <v>300</v>
      </c>
      <c r="J112" s="58"/>
      <c r="K112" s="57" t="s">
        <v>301</v>
      </c>
      <c r="L112" s="58"/>
      <c r="M112" s="255" t="s">
        <v>302</v>
      </c>
      <c r="N112" s="58"/>
      <c r="O112" s="9"/>
    </row>
    <row r="113" spans="2:15">
      <c r="B113" s="5"/>
      <c r="C113" s="401" t="s">
        <v>317</v>
      </c>
      <c r="D113" s="322"/>
      <c r="E113" s="322"/>
      <c r="F113" s="322"/>
      <c r="G113" s="429">
        <v>0</v>
      </c>
      <c r="H113" s="430"/>
      <c r="I113" s="424">
        <f>G113/$G$119</f>
        <v>0</v>
      </c>
      <c r="J113" s="405"/>
      <c r="K113" s="431">
        <v>0</v>
      </c>
      <c r="L113" s="432"/>
      <c r="M113" s="415">
        <f>K113/$K$119</f>
        <v>0</v>
      </c>
      <c r="N113" s="416"/>
      <c r="O113" s="9"/>
    </row>
    <row r="114" spans="2:15">
      <c r="B114" s="5"/>
      <c r="C114" s="401" t="s">
        <v>318</v>
      </c>
      <c r="D114" s="322"/>
      <c r="E114" s="322"/>
      <c r="F114" s="322"/>
      <c r="G114" s="402">
        <v>0</v>
      </c>
      <c r="H114" s="403"/>
      <c r="I114" s="424">
        <f t="shared" ref="I114:I118" si="6">G114/$G$119</f>
        <v>0</v>
      </c>
      <c r="J114" s="405"/>
      <c r="K114" s="431">
        <v>0</v>
      </c>
      <c r="L114" s="432"/>
      <c r="M114" s="404">
        <f t="shared" ref="M114:M118" si="7">K114/$K$119</f>
        <v>0</v>
      </c>
      <c r="N114" s="405"/>
      <c r="O114" s="9"/>
    </row>
    <row r="115" spans="2:15">
      <c r="B115" s="5"/>
      <c r="C115" s="401" t="s">
        <v>319</v>
      </c>
      <c r="D115" s="322"/>
      <c r="E115" s="322"/>
      <c r="F115" s="322"/>
      <c r="G115" s="402">
        <v>239268468.74999997</v>
      </c>
      <c r="H115" s="403"/>
      <c r="I115" s="424">
        <f t="shared" si="6"/>
        <v>0.39925698086026101</v>
      </c>
      <c r="J115" s="405"/>
      <c r="K115" s="431">
        <v>8</v>
      </c>
      <c r="L115" s="432"/>
      <c r="M115" s="404">
        <f t="shared" si="7"/>
        <v>7.6190476190476197E-2</v>
      </c>
      <c r="N115" s="405"/>
      <c r="O115" s="9"/>
    </row>
    <row r="116" spans="2:15">
      <c r="B116" s="5"/>
      <c r="C116" s="401" t="s">
        <v>320</v>
      </c>
      <c r="D116" s="322"/>
      <c r="E116" s="322"/>
      <c r="F116" s="322"/>
      <c r="G116" s="402">
        <v>273259628.17999995</v>
      </c>
      <c r="H116" s="403"/>
      <c r="I116" s="424">
        <f t="shared" si="6"/>
        <v>0.45597656351509663</v>
      </c>
      <c r="J116" s="405"/>
      <c r="K116" s="431">
        <v>63</v>
      </c>
      <c r="L116" s="432"/>
      <c r="M116" s="404">
        <f t="shared" si="7"/>
        <v>0.6</v>
      </c>
      <c r="N116" s="405"/>
      <c r="O116" s="9"/>
    </row>
    <row r="117" spans="2:15">
      <c r="B117" s="5"/>
      <c r="C117" s="401" t="s">
        <v>321</v>
      </c>
      <c r="D117" s="322"/>
      <c r="E117" s="322"/>
      <c r="F117" s="322"/>
      <c r="G117" s="402">
        <v>83385039.649999976</v>
      </c>
      <c r="H117" s="403"/>
      <c r="I117" s="424">
        <f t="shared" si="6"/>
        <v>0.13914102160430258</v>
      </c>
      <c r="J117" s="405"/>
      <c r="K117" s="431">
        <v>32</v>
      </c>
      <c r="L117" s="432"/>
      <c r="M117" s="404">
        <f t="shared" si="7"/>
        <v>0.30476190476190479</v>
      </c>
      <c r="N117" s="405"/>
      <c r="O117" s="9"/>
    </row>
    <row r="118" spans="2:15">
      <c r="B118" s="5"/>
      <c r="C118" s="401" t="s">
        <v>322</v>
      </c>
      <c r="D118" s="322"/>
      <c r="E118" s="322"/>
      <c r="F118" s="322"/>
      <c r="G118" s="402">
        <v>3371234.6900001764</v>
      </c>
      <c r="H118" s="403"/>
      <c r="I118" s="433">
        <f t="shared" si="6"/>
        <v>5.6254340203397511E-3</v>
      </c>
      <c r="J118" s="418"/>
      <c r="K118" s="431">
        <v>2</v>
      </c>
      <c r="L118" s="432"/>
      <c r="M118" s="417">
        <f t="shared" si="7"/>
        <v>1.9047619047619049E-2</v>
      </c>
      <c r="N118" s="418"/>
      <c r="O118" s="9"/>
    </row>
    <row r="119" spans="2:15">
      <c r="B119" s="5"/>
      <c r="C119" s="400" t="s">
        <v>308</v>
      </c>
      <c r="D119" s="351"/>
      <c r="E119" s="351"/>
      <c r="F119" s="351"/>
      <c r="G119" s="420">
        <f>SUM(G113:H118)</f>
        <v>599284371.2700001</v>
      </c>
      <c r="H119" s="421"/>
      <c r="I119" s="414">
        <f>SUM(I113:J118)</f>
        <v>0.99999999999999989</v>
      </c>
      <c r="J119" s="413"/>
      <c r="K119" s="434">
        <f>SUM(K113:L118)</f>
        <v>105</v>
      </c>
      <c r="L119" s="435"/>
      <c r="M119" s="436">
        <f>SUM(M113:N118)</f>
        <v>1</v>
      </c>
      <c r="N119" s="437"/>
      <c r="O119" s="9"/>
    </row>
    <row r="120" spans="2:15" ht="15" thickBot="1">
      <c r="B120" s="300"/>
      <c r="C120" s="301"/>
      <c r="D120" s="301"/>
      <c r="E120" s="301"/>
      <c r="F120" s="301"/>
      <c r="G120" s="301"/>
      <c r="H120" s="301"/>
      <c r="I120" s="301"/>
      <c r="J120" s="301"/>
      <c r="K120" s="301"/>
      <c r="L120" s="301"/>
      <c r="M120" s="301"/>
      <c r="N120" s="301"/>
      <c r="O120" s="136"/>
    </row>
  </sheetData>
  <mergeCells count="259">
    <mergeCell ref="G118:H118"/>
    <mergeCell ref="I118:J118"/>
    <mergeCell ref="K118:L118"/>
    <mergeCell ref="M118:N118"/>
    <mergeCell ref="G119:H119"/>
    <mergeCell ref="I119:J119"/>
    <mergeCell ref="K119:L119"/>
    <mergeCell ref="M119:N119"/>
    <mergeCell ref="G116:H116"/>
    <mergeCell ref="I116:J116"/>
    <mergeCell ref="K116:L116"/>
    <mergeCell ref="M116:N116"/>
    <mergeCell ref="G117:H117"/>
    <mergeCell ref="I117:J117"/>
    <mergeCell ref="K117:L117"/>
    <mergeCell ref="M117:N117"/>
    <mergeCell ref="G114:H114"/>
    <mergeCell ref="I114:J114"/>
    <mergeCell ref="K114:L114"/>
    <mergeCell ref="M114:N114"/>
    <mergeCell ref="G115:H115"/>
    <mergeCell ref="I115:J115"/>
    <mergeCell ref="K115:L115"/>
    <mergeCell ref="M115:N115"/>
    <mergeCell ref="G112:H112"/>
    <mergeCell ref="I112:J112"/>
    <mergeCell ref="K112:L112"/>
    <mergeCell ref="M112:N112"/>
    <mergeCell ref="G113:H113"/>
    <mergeCell ref="I113:J113"/>
    <mergeCell ref="K113:L113"/>
    <mergeCell ref="M113:N113"/>
    <mergeCell ref="G109:H109"/>
    <mergeCell ref="I109:J109"/>
    <mergeCell ref="K109:L109"/>
    <mergeCell ref="M109:N109"/>
    <mergeCell ref="G110:H110"/>
    <mergeCell ref="I110:J110"/>
    <mergeCell ref="K110:L110"/>
    <mergeCell ref="M110:N110"/>
    <mergeCell ref="G107:H107"/>
    <mergeCell ref="I107:J107"/>
    <mergeCell ref="K107:L107"/>
    <mergeCell ref="M107:N107"/>
    <mergeCell ref="G108:H108"/>
    <mergeCell ref="I108:J108"/>
    <mergeCell ref="K108:L108"/>
    <mergeCell ref="M108:N108"/>
    <mergeCell ref="G105:H105"/>
    <mergeCell ref="I105:J105"/>
    <mergeCell ref="K105:L105"/>
    <mergeCell ref="M105:N105"/>
    <mergeCell ref="G106:H106"/>
    <mergeCell ref="I106:J106"/>
    <mergeCell ref="K106:L106"/>
    <mergeCell ref="M106:N106"/>
    <mergeCell ref="G103:H103"/>
    <mergeCell ref="I103:J103"/>
    <mergeCell ref="K103:L103"/>
    <mergeCell ref="M103:N103"/>
    <mergeCell ref="G104:H104"/>
    <mergeCell ref="I104:J104"/>
    <mergeCell ref="K104:L104"/>
    <mergeCell ref="M104:N104"/>
    <mergeCell ref="G101:H101"/>
    <mergeCell ref="I101:J101"/>
    <mergeCell ref="K101:L101"/>
    <mergeCell ref="M101:N101"/>
    <mergeCell ref="G102:H102"/>
    <mergeCell ref="I102:J102"/>
    <mergeCell ref="K102:L102"/>
    <mergeCell ref="M102:N102"/>
    <mergeCell ref="G99:H99"/>
    <mergeCell ref="I99:J99"/>
    <mergeCell ref="K99:L99"/>
    <mergeCell ref="M99:N99"/>
    <mergeCell ref="G100:H100"/>
    <mergeCell ref="I100:J100"/>
    <mergeCell ref="K100:L100"/>
    <mergeCell ref="M100:N100"/>
    <mergeCell ref="G97:H97"/>
    <mergeCell ref="I97:J97"/>
    <mergeCell ref="K97:L97"/>
    <mergeCell ref="M97:N97"/>
    <mergeCell ref="G98:H98"/>
    <mergeCell ref="I98:J98"/>
    <mergeCell ref="K98:L98"/>
    <mergeCell ref="M98:N98"/>
    <mergeCell ref="G95:H95"/>
    <mergeCell ref="I95:J95"/>
    <mergeCell ref="K95:L95"/>
    <mergeCell ref="M95:N95"/>
    <mergeCell ref="G96:H96"/>
    <mergeCell ref="I96:J96"/>
    <mergeCell ref="K96:L96"/>
    <mergeCell ref="M96:N96"/>
    <mergeCell ref="G92:H92"/>
    <mergeCell ref="I92:J92"/>
    <mergeCell ref="K92:L92"/>
    <mergeCell ref="M92:N92"/>
    <mergeCell ref="G94:H94"/>
    <mergeCell ref="I94:J94"/>
    <mergeCell ref="K94:L94"/>
    <mergeCell ref="M94:N94"/>
    <mergeCell ref="G90:H90"/>
    <mergeCell ref="I90:J90"/>
    <mergeCell ref="K90:L90"/>
    <mergeCell ref="M90:N90"/>
    <mergeCell ref="G91:H91"/>
    <mergeCell ref="I91:J91"/>
    <mergeCell ref="K91:L91"/>
    <mergeCell ref="M91:N91"/>
    <mergeCell ref="G88:H88"/>
    <mergeCell ref="I88:J88"/>
    <mergeCell ref="K88:L88"/>
    <mergeCell ref="M88:N88"/>
    <mergeCell ref="G89:H89"/>
    <mergeCell ref="I89:J89"/>
    <mergeCell ref="K89:L89"/>
    <mergeCell ref="M89:N89"/>
    <mergeCell ref="G86:H86"/>
    <mergeCell ref="I86:J86"/>
    <mergeCell ref="K86:L86"/>
    <mergeCell ref="M86:N86"/>
    <mergeCell ref="G87:H87"/>
    <mergeCell ref="I87:J87"/>
    <mergeCell ref="K87:L87"/>
    <mergeCell ref="M87:N87"/>
    <mergeCell ref="G83:H83"/>
    <mergeCell ref="I83:J83"/>
    <mergeCell ref="K83:L83"/>
    <mergeCell ref="M83:N83"/>
    <mergeCell ref="G84:H84"/>
    <mergeCell ref="I84:J84"/>
    <mergeCell ref="K84:L84"/>
    <mergeCell ref="M84:N84"/>
    <mergeCell ref="G81:H81"/>
    <mergeCell ref="I81:J81"/>
    <mergeCell ref="K81:L81"/>
    <mergeCell ref="M81:N81"/>
    <mergeCell ref="G82:H82"/>
    <mergeCell ref="I82:J82"/>
    <mergeCell ref="K82:L82"/>
    <mergeCell ref="M82:N82"/>
    <mergeCell ref="G79:H79"/>
    <mergeCell ref="I79:J79"/>
    <mergeCell ref="K79:L79"/>
    <mergeCell ref="M79:N79"/>
    <mergeCell ref="G80:H80"/>
    <mergeCell ref="I80:J80"/>
    <mergeCell ref="K80:L80"/>
    <mergeCell ref="M80:N80"/>
    <mergeCell ref="F75:H75"/>
    <mergeCell ref="I75:K75"/>
    <mergeCell ref="L75:N75"/>
    <mergeCell ref="C77:N77"/>
    <mergeCell ref="G78:H78"/>
    <mergeCell ref="I78:J78"/>
    <mergeCell ref="K78:L78"/>
    <mergeCell ref="M78:N78"/>
    <mergeCell ref="F73:H73"/>
    <mergeCell ref="I73:K73"/>
    <mergeCell ref="L73:N73"/>
    <mergeCell ref="F74:H74"/>
    <mergeCell ref="I74:K74"/>
    <mergeCell ref="L74:N74"/>
    <mergeCell ref="F71:H71"/>
    <mergeCell ref="I71:K71"/>
    <mergeCell ref="L71:N71"/>
    <mergeCell ref="F72:H72"/>
    <mergeCell ref="I72:K72"/>
    <mergeCell ref="L72:N72"/>
    <mergeCell ref="F69:H69"/>
    <mergeCell ref="I69:K69"/>
    <mergeCell ref="L69:N69"/>
    <mergeCell ref="F70:H70"/>
    <mergeCell ref="I70:K70"/>
    <mergeCell ref="L70:N70"/>
    <mergeCell ref="F67:H67"/>
    <mergeCell ref="I67:K67"/>
    <mergeCell ref="L67:N67"/>
    <mergeCell ref="F68:H68"/>
    <mergeCell ref="I68:K68"/>
    <mergeCell ref="L68:N68"/>
    <mergeCell ref="I62:J62"/>
    <mergeCell ref="L62:M62"/>
    <mergeCell ref="I63:K63"/>
    <mergeCell ref="L63:N63"/>
    <mergeCell ref="C65:N65"/>
    <mergeCell ref="F66:H66"/>
    <mergeCell ref="I66:K66"/>
    <mergeCell ref="L66:N66"/>
    <mergeCell ref="I59:J59"/>
    <mergeCell ref="L59:M59"/>
    <mergeCell ref="I60:J60"/>
    <mergeCell ref="L60:M60"/>
    <mergeCell ref="I61:J61"/>
    <mergeCell ref="L61:M61"/>
    <mergeCell ref="I56:J56"/>
    <mergeCell ref="L56:M56"/>
    <mergeCell ref="I57:J57"/>
    <mergeCell ref="L57:M57"/>
    <mergeCell ref="I58:K58"/>
    <mergeCell ref="L58:N58"/>
    <mergeCell ref="I53:K53"/>
    <mergeCell ref="L53:N53"/>
    <mergeCell ref="I54:K54"/>
    <mergeCell ref="L54:N54"/>
    <mergeCell ref="I55:J55"/>
    <mergeCell ref="L55:M55"/>
    <mergeCell ref="J47:M47"/>
    <mergeCell ref="C48:N48"/>
    <mergeCell ref="J49:N49"/>
    <mergeCell ref="C51:N51"/>
    <mergeCell ref="I52:K52"/>
    <mergeCell ref="L52:N52"/>
    <mergeCell ref="J41:M41"/>
    <mergeCell ref="J42:N42"/>
    <mergeCell ref="J43:N43"/>
    <mergeCell ref="J44:N44"/>
    <mergeCell ref="J45:N45"/>
    <mergeCell ref="J46:M46"/>
    <mergeCell ref="J35:M35"/>
    <mergeCell ref="J36:M36"/>
    <mergeCell ref="C37:N37"/>
    <mergeCell ref="J38:N38"/>
    <mergeCell ref="J39:M39"/>
    <mergeCell ref="J40:M40"/>
    <mergeCell ref="J29:N29"/>
    <mergeCell ref="J30:M30"/>
    <mergeCell ref="J31:M31"/>
    <mergeCell ref="C32:N32"/>
    <mergeCell ref="J33:N33"/>
    <mergeCell ref="J34:M34"/>
    <mergeCell ref="C23:N23"/>
    <mergeCell ref="J24:N24"/>
    <mergeCell ref="C25:N25"/>
    <mergeCell ref="J26:N26"/>
    <mergeCell ref="J27:M27"/>
    <mergeCell ref="J28:M28"/>
    <mergeCell ref="C17:E18"/>
    <mergeCell ref="J17:N17"/>
    <mergeCell ref="J18:N18"/>
    <mergeCell ref="J19:N19"/>
    <mergeCell ref="J20:N20"/>
    <mergeCell ref="C22:N22"/>
    <mergeCell ref="J12:N12"/>
    <mergeCell ref="C13:E14"/>
    <mergeCell ref="J13:N13"/>
    <mergeCell ref="J14:N14"/>
    <mergeCell ref="J15:N15"/>
    <mergeCell ref="J16:N16"/>
    <mergeCell ref="C3:N4"/>
    <mergeCell ref="C6:N6"/>
    <mergeCell ref="J8:N8"/>
    <mergeCell ref="J9:N9"/>
    <mergeCell ref="C10:E11"/>
    <mergeCell ref="J10:N10"/>
    <mergeCell ref="J11:N1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Admin Report</vt:lpstr>
      <vt:lpstr>Servicer 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Tebogo Moseamedi</dc:creator>
  <cp:lastModifiedBy>Tebogo Moseamedi</cp:lastModifiedBy>
  <dcterms:created xsi:type="dcterms:W3CDTF">2022-02-16T10:14:56Z</dcterms:created>
  <dcterms:modified xsi:type="dcterms:W3CDTF">2022-02-16T10:23:22Z</dcterms:modified>
</cp:coreProperties>
</file>