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tuhfltd.sharepoint.com/sites/Finance2/Shared Documents/Finance Reports/Reports for 2023/Urban Ubomi 1/Investor Reports/4. February 2023/Workings/"/>
    </mc:Choice>
  </mc:AlternateContent>
  <xr:revisionPtr revIDLastSave="0" documentId="8_{3498038A-2F42-41BA-9C0E-14F65D55F34B}" xr6:coauthVersionLast="47" xr6:coauthVersionMax="47" xr10:uidLastSave="{00000000-0000-0000-0000-000000000000}"/>
  <bookViews>
    <workbookView xWindow="-120" yWindow="-120" windowWidth="29040" windowHeight="15720" activeTab="1" xr2:uid="{953F08BF-C6D3-481F-8B9D-C60116FF7A55}"/>
  </bookViews>
  <sheets>
    <sheet name="Admin Report" sheetId="1" r:id="rId1"/>
    <sheet name="Servicer Report" sheetId="2" r:id="rId2"/>
  </sheets>
  <externalReferences>
    <externalReference r:id="rId3"/>
  </externalReference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Recon2" hidden="1">#REF!</definedName>
    <definedName name="wrn.Report1." hidden="1">{#N/A,#N/A,FALSE,"Glossary"}</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8" i="2" l="1"/>
  <c r="I118" i="2"/>
  <c r="M116" i="2"/>
  <c r="I116" i="2"/>
  <c r="K120" i="2"/>
  <c r="M114" i="2" s="1"/>
  <c r="G120" i="2"/>
  <c r="I114" i="2" s="1"/>
  <c r="L58" i="2"/>
  <c r="P101" i="1" s="1"/>
  <c r="I58" i="2"/>
  <c r="L54" i="2"/>
  <c r="I54" i="2"/>
  <c r="J45" i="2"/>
  <c r="J33" i="2"/>
  <c r="J12" i="2"/>
  <c r="J11" i="2"/>
  <c r="J8" i="2"/>
  <c r="O216" i="1"/>
  <c r="Q208" i="1"/>
  <c r="M208" i="1"/>
  <c r="Q206" i="1"/>
  <c r="O211" i="1" s="1"/>
  <c r="M204" i="1"/>
  <c r="O201" i="1"/>
  <c r="P95" i="1" s="1"/>
  <c r="O198" i="1"/>
  <c r="O190" i="1"/>
  <c r="O192" i="1" s="1"/>
  <c r="O188" i="1"/>
  <c r="Q183" i="1"/>
  <c r="Q182" i="1"/>
  <c r="Q181" i="1"/>
  <c r="Q180" i="1"/>
  <c r="Q177" i="1"/>
  <c r="Q176" i="1"/>
  <c r="Q175" i="1"/>
  <c r="Q174" i="1"/>
  <c r="Q173" i="1"/>
  <c r="K173" i="1"/>
  <c r="Q172" i="1"/>
  <c r="Q171" i="1"/>
  <c r="Q170" i="1"/>
  <c r="Q169" i="1"/>
  <c r="Q168" i="1"/>
  <c r="K168" i="1"/>
  <c r="Q167" i="1"/>
  <c r="Q165" i="1"/>
  <c r="Q164" i="1"/>
  <c r="Q163" i="1"/>
  <c r="Q162" i="1"/>
  <c r="Q157" i="1"/>
  <c r="Q156" i="1"/>
  <c r="Q155" i="1"/>
  <c r="Q152" i="1"/>
  <c r="Q148" i="1"/>
  <c r="Q147" i="1"/>
  <c r="Q146" i="1"/>
  <c r="Q145" i="1"/>
  <c r="Q144" i="1"/>
  <c r="Q142" i="1"/>
  <c r="Q140" i="1" s="1"/>
  <c r="Q141" i="1"/>
  <c r="K140" i="1"/>
  <c r="Q139" i="1"/>
  <c r="Q138" i="1"/>
  <c r="Q137" i="1" s="1"/>
  <c r="K137" i="1"/>
  <c r="Q136" i="1"/>
  <c r="P77" i="1"/>
  <c r="Q76" i="1"/>
  <c r="Q75" i="1"/>
  <c r="Q72" i="1"/>
  <c r="Q69" i="1"/>
  <c r="Q68" i="1"/>
  <c r="P63" i="1"/>
  <c r="O208" i="1"/>
  <c r="O207" i="1" s="1"/>
  <c r="Q207" i="1" s="1"/>
  <c r="P60" i="1"/>
  <c r="P56" i="1"/>
  <c r="P55" i="1" s="1"/>
  <c r="P49" i="1"/>
  <c r="M49" i="1"/>
  <c r="L49" i="1"/>
  <c r="J49" i="1"/>
  <c r="I49" i="1"/>
  <c r="R49" i="1"/>
  <c r="K49" i="1"/>
  <c r="H49" i="1"/>
  <c r="G49" i="1"/>
  <c r="M47" i="1"/>
  <c r="H47" i="1"/>
  <c r="G47" i="1"/>
  <c r="H46" i="1"/>
  <c r="I46" i="1" s="1"/>
  <c r="M40" i="1"/>
  <c r="L40" i="1"/>
  <c r="J40" i="1"/>
  <c r="M37" i="1"/>
  <c r="M38" i="1" s="1"/>
  <c r="O40" i="1"/>
  <c r="K34" i="1"/>
  <c r="O32" i="1"/>
  <c r="K32" i="1"/>
  <c r="R30" i="1"/>
  <c r="R36" i="1" s="1"/>
  <c r="O30" i="1"/>
  <c r="L30" i="1"/>
  <c r="L36" i="1" s="1"/>
  <c r="K30" i="1"/>
  <c r="H30" i="1"/>
  <c r="H36" i="1" s="1"/>
  <c r="P29" i="1"/>
  <c r="P30" i="1" s="1"/>
  <c r="O29" i="1"/>
  <c r="N29" i="1"/>
  <c r="N30" i="1" s="1"/>
  <c r="K29" i="1"/>
  <c r="J29" i="1"/>
  <c r="J30" i="1" s="1"/>
  <c r="I30" i="1"/>
  <c r="I36" i="1" s="1"/>
  <c r="I37" i="1" s="1"/>
  <c r="H29" i="1"/>
  <c r="G29" i="1"/>
  <c r="M206" i="1" s="1"/>
  <c r="R28" i="1"/>
  <c r="P28" i="1"/>
  <c r="O28" i="1"/>
  <c r="N28" i="1"/>
  <c r="M28" i="1"/>
  <c r="L28" i="1"/>
  <c r="K28" i="1"/>
  <c r="J28" i="1"/>
  <c r="I28" i="1"/>
  <c r="H28" i="1"/>
  <c r="G28" i="1"/>
  <c r="J14" i="1"/>
  <c r="J16" i="1" s="1"/>
  <c r="Q36" i="1" s="1"/>
  <c r="J13" i="1"/>
  <c r="J15" i="1" s="1"/>
  <c r="J11" i="1"/>
  <c r="J10" i="1"/>
  <c r="J12" i="1" s="1"/>
  <c r="J9" i="1"/>
  <c r="J8" i="1"/>
  <c r="H37" i="1" l="1"/>
  <c r="H38" i="1" s="1"/>
  <c r="J36" i="1"/>
  <c r="Q37" i="1"/>
  <c r="Q38" i="1" s="1"/>
  <c r="L37" i="1"/>
  <c r="L38" i="1" s="1"/>
  <c r="K158" i="1"/>
  <c r="Q158" i="1" s="1"/>
  <c r="K206" i="1"/>
  <c r="G84" i="2"/>
  <c r="I82" i="2" s="1"/>
  <c r="I83" i="2"/>
  <c r="I90" i="2"/>
  <c r="I117" i="2"/>
  <c r="P85" i="1"/>
  <c r="P84" i="1" s="1"/>
  <c r="P81" i="1" s="1"/>
  <c r="L63" i="2"/>
  <c r="L53" i="2" s="1"/>
  <c r="M105" i="2"/>
  <c r="M117" i="2"/>
  <c r="M34" i="1"/>
  <c r="G36" i="1"/>
  <c r="I38" i="1"/>
  <c r="M98" i="2"/>
  <c r="M102" i="2"/>
  <c r="N32" i="1"/>
  <c r="P34" i="1"/>
  <c r="N36" i="1"/>
  <c r="M100" i="2"/>
  <c r="O36" i="1"/>
  <c r="P36" i="1"/>
  <c r="R37" i="1"/>
  <c r="R38" i="1"/>
  <c r="G32" i="1"/>
  <c r="J38" i="2"/>
  <c r="Q67" i="1"/>
  <c r="R32" i="1"/>
  <c r="M32" i="1"/>
  <c r="N40" i="1"/>
  <c r="J46" i="1"/>
  <c r="I47" i="1"/>
  <c r="K166" i="1"/>
  <c r="Q166" i="1" s="1"/>
  <c r="P96" i="1"/>
  <c r="P79" i="1"/>
  <c r="I81" i="2"/>
  <c r="I99" i="2"/>
  <c r="I119" i="2"/>
  <c r="J34" i="1"/>
  <c r="Q34" i="1"/>
  <c r="I34" i="1"/>
  <c r="H34" i="1"/>
  <c r="L34" i="1"/>
  <c r="K36" i="1"/>
  <c r="G34" i="1"/>
  <c r="J18" i="1"/>
  <c r="P93" i="1"/>
  <c r="I91" i="2"/>
  <c r="P32" i="1"/>
  <c r="J32" i="1"/>
  <c r="Q143" i="1"/>
  <c r="P87" i="1"/>
  <c r="P103" i="1"/>
  <c r="J29" i="2"/>
  <c r="I53" i="2"/>
  <c r="M81" i="2"/>
  <c r="M120" i="2"/>
  <c r="M119" i="2"/>
  <c r="K84" i="2"/>
  <c r="M79" i="2" s="1"/>
  <c r="K92" i="2"/>
  <c r="M90" i="2" s="1"/>
  <c r="L32" i="1"/>
  <c r="R34" i="1"/>
  <c r="K40" i="1"/>
  <c r="K143" i="1"/>
  <c r="I115" i="2"/>
  <c r="I120" i="2" s="1"/>
  <c r="G111" i="2"/>
  <c r="I97" i="2" s="1"/>
  <c r="J17" i="1"/>
  <c r="G30" i="1"/>
  <c r="M115" i="2"/>
  <c r="K111" i="2"/>
  <c r="M109" i="2" s="1"/>
  <c r="O212" i="1"/>
  <c r="H32" i="1"/>
  <c r="G92" i="2"/>
  <c r="I89" i="2" s="1"/>
  <c r="I32" i="1"/>
  <c r="Q32" i="1"/>
  <c r="P40" i="1"/>
  <c r="I96" i="2" l="1"/>
  <c r="I88" i="2"/>
  <c r="K46" i="1"/>
  <c r="J47" i="1"/>
  <c r="K153" i="1"/>
  <c r="Q153" i="1" s="1"/>
  <c r="N38" i="1"/>
  <c r="N37" i="1"/>
  <c r="M91" i="2"/>
  <c r="I102" i="2"/>
  <c r="M89" i="2"/>
  <c r="M97" i="2"/>
  <c r="J26" i="2"/>
  <c r="I79" i="2"/>
  <c r="M88" i="2"/>
  <c r="K150" i="1"/>
  <c r="G37" i="1"/>
  <c r="G38" i="1" s="1"/>
  <c r="I100" i="2"/>
  <c r="I95" i="2"/>
  <c r="M82" i="2"/>
  <c r="I106" i="2"/>
  <c r="M101" i="2"/>
  <c r="K179" i="1"/>
  <c r="K37" i="1"/>
  <c r="K38" i="1" s="1"/>
  <c r="M87" i="2"/>
  <c r="M92" i="2" s="1"/>
  <c r="I98" i="2"/>
  <c r="I104" i="2"/>
  <c r="J37" i="1"/>
  <c r="J38" i="1"/>
  <c r="K151" i="1"/>
  <c r="Q151" i="1" s="1"/>
  <c r="M80" i="2"/>
  <c r="M84" i="2" s="1"/>
  <c r="I87" i="2"/>
  <c r="I92" i="2" s="1"/>
  <c r="M83" i="2"/>
  <c r="I109" i="2"/>
  <c r="M103" i="2"/>
  <c r="M104" i="2"/>
  <c r="N34" i="1"/>
  <c r="I108" i="2"/>
  <c r="I80" i="2"/>
  <c r="I105" i="2"/>
  <c r="M107" i="2"/>
  <c r="M99" i="2"/>
  <c r="M96" i="2"/>
  <c r="I107" i="2"/>
  <c r="I110" i="2"/>
  <c r="P37" i="1"/>
  <c r="P38" i="1" s="1"/>
  <c r="K154" i="1"/>
  <c r="Q154" i="1" s="1"/>
  <c r="M110" i="2"/>
  <c r="O34" i="1"/>
  <c r="I101" i="2"/>
  <c r="M108" i="2"/>
  <c r="M95" i="2"/>
  <c r="I103" i="2"/>
  <c r="P100" i="1"/>
  <c r="P99" i="1" s="1"/>
  <c r="P66" i="1"/>
  <c r="P94" i="1" s="1"/>
  <c r="P92" i="1" s="1"/>
  <c r="O37" i="1"/>
  <c r="O38" i="1" s="1"/>
  <c r="M106" i="2"/>
  <c r="N136" i="1" l="1"/>
  <c r="I84" i="2"/>
  <c r="I111" i="2"/>
  <c r="K47" i="1"/>
  <c r="L46" i="1"/>
  <c r="P108" i="1"/>
  <c r="K161" i="1"/>
  <c r="M111" i="2"/>
  <c r="Q179" i="1"/>
  <c r="K178" i="1"/>
  <c r="Q150" i="1"/>
  <c r="Q149" i="1" s="1"/>
  <c r="K149" i="1"/>
  <c r="O214" i="1" l="1"/>
  <c r="O215" i="1" s="1"/>
  <c r="O218" i="1" s="1"/>
  <c r="Q178" i="1"/>
  <c r="Q161" i="1"/>
  <c r="H39" i="1"/>
  <c r="H40" i="1" s="1"/>
  <c r="I39" i="1"/>
  <c r="I40" i="1" s="1"/>
  <c r="G39" i="1"/>
  <c r="G40" i="1" s="1"/>
  <c r="K160" i="1"/>
  <c r="N137" i="1"/>
  <c r="N184" i="1"/>
  <c r="Q184" i="1" s="1"/>
  <c r="M46" i="1"/>
  <c r="N46" i="1" s="1"/>
  <c r="L47" i="1"/>
  <c r="H41" i="1" l="1"/>
  <c r="N47" i="1"/>
  <c r="O46" i="1"/>
  <c r="N138" i="1"/>
  <c r="N140" i="1"/>
  <c r="N139" i="1"/>
  <c r="K159" i="1"/>
  <c r="Q160" i="1"/>
  <c r="Q159" i="1" s="1"/>
  <c r="M41" i="1"/>
  <c r="J19" i="1"/>
  <c r="G41" i="1"/>
  <c r="Q41" i="1"/>
  <c r="J41" i="1"/>
  <c r="O41" i="1"/>
  <c r="R41" i="1"/>
  <c r="L41" i="1"/>
  <c r="P41" i="1"/>
  <c r="K41" i="1"/>
  <c r="N41" i="1"/>
  <c r="I41" i="1"/>
  <c r="N43" i="1" l="1"/>
  <c r="M43" i="1"/>
  <c r="L43" i="1"/>
  <c r="R43" i="1"/>
  <c r="J43" i="1"/>
  <c r="P43" i="1"/>
  <c r="H43" i="1"/>
  <c r="I43" i="1"/>
  <c r="Q43" i="1"/>
  <c r="O43" i="1"/>
  <c r="K43" i="1"/>
  <c r="G43" i="1"/>
  <c r="N142" i="1"/>
  <c r="N141" i="1"/>
  <c r="N143" i="1"/>
  <c r="K184" i="1"/>
  <c r="O47" i="1"/>
  <c r="P46" i="1"/>
  <c r="N147" i="1" l="1"/>
  <c r="N148" i="1" s="1"/>
  <c r="N149" i="1" s="1"/>
  <c r="N144" i="1"/>
  <c r="N146" i="1"/>
  <c r="N145" i="1"/>
  <c r="Q46" i="1"/>
  <c r="P47" i="1"/>
  <c r="R46" i="1" l="1"/>
  <c r="R47" i="1" s="1"/>
  <c r="Q47" i="1"/>
  <c r="N153" i="1"/>
  <c r="N154" i="1" s="1"/>
  <c r="N150" i="1"/>
  <c r="N152" i="1"/>
  <c r="N151" i="1"/>
  <c r="N155" i="1" l="1"/>
  <c r="N156" i="1" s="1"/>
  <c r="N158" i="1"/>
  <c r="N159" i="1" s="1"/>
  <c r="N166" i="1" l="1"/>
  <c r="N167" i="1" s="1"/>
  <c r="N168" i="1" s="1"/>
  <c r="N165" i="1"/>
  <c r="N163" i="1"/>
  <c r="N164" i="1"/>
  <c r="N162" i="1"/>
  <c r="N161" i="1"/>
  <c r="N160" i="1"/>
  <c r="P109" i="1"/>
  <c r="P110" i="1" s="1"/>
  <c r="N157" i="1"/>
  <c r="N169" i="1" l="1"/>
  <c r="N170" i="1"/>
  <c r="N171" i="1"/>
  <c r="N172" i="1" s="1"/>
  <c r="N173" i="1" s="1"/>
  <c r="N175" i="1" l="1"/>
  <c r="N176" i="1" s="1"/>
  <c r="N177" i="1" s="1"/>
  <c r="N178" i="1" s="1"/>
  <c r="N174" i="1"/>
  <c r="N183" i="1" l="1"/>
  <c r="N182" i="1"/>
  <c r="N179" i="1"/>
  <c r="N180" i="1" s="1"/>
  <c r="N18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tc={8700178B-2509-4C0D-9325-41B8DDCD1AE8}</author>
    <author>tc={768FD04F-AA93-4E97-AAAA-E41C098FF24E}</author>
    <author>tc={0E8BC850-7AAD-4ECA-BC84-BBC15C6C08C3}</author>
    <author>tc={37AA4D91-CD59-4DE9-8FE5-052D09961173}</author>
    <author>tc={56CDC6A0-1AC7-48E9-94A6-7C01111991D8}</author>
    <author>tc={279359C7-2973-491F-BD1C-A4478E456D27}</author>
    <author>tc={BF227B42-A329-4041-A823-539B16240F7A}</author>
    <author>tc={6FEC890E-52CB-43AF-964B-FACD5DF06FC2}</author>
    <author>tc={CBDE6B9A-489F-4070-8F8A-C8743A0A7DF0}</author>
    <author>tc={FDD55EDF-78A7-4508-86B1-49734E1C62EE}</author>
    <author>tc={8EF1682C-310A-4AD1-931C-AE477092D6E0}</author>
    <author>tc={9DB3A166-4679-4B43-9F6D-781A48296C82}</author>
    <author>tc={697D19F2-43DC-46A5-806E-A6C2CA499A59}</author>
    <author>tc={86000213-4BD4-428E-8032-16D394402BF8}</author>
    <author>tc={1AB77008-0662-4FBC-A47B-64237C5EA648}</author>
    <author>tc={85C85F21-E9A3-4FFB-8524-D9CBC6501382}</author>
    <author>tc={8EFAF52E-A6CC-4D65-A137-B9D29D827046}</author>
    <author>tc={22A539EA-0F26-4BA3-81C0-B1FD792832B3}</author>
    <author>tc={EBBBC1A6-6D1D-4D35-B856-C88DCE94B03E}</author>
    <author>tc={7F0CD20C-A36C-40E3-8ED1-78C3345C3470}</author>
    <author>tc={D52091A6-817C-41B7-8E27-539164FE59CE}</author>
    <author>tc={54932BFF-E7B5-42BB-93EC-015BB156E5D2}</author>
    <author>tc={B02C1E20-47BD-4FE1-A127-A7C73E60C9E3}</author>
    <author>tc={E194E2D2-AF20-4858-98FC-A65BBBE315F3}</author>
    <author>tc={D26AF76E-1E4A-48CC-85A2-500AA8F71FAB}</author>
    <author>tc={CADB9B51-57C1-41DC-A9C5-7F163C7166F1}</author>
    <author>tc={B4F868B7-18AA-4F38-AF46-5AA617C2C3D3}</author>
    <author>tc={0F6E6A63-D013-4F73-8B87-F882A5EBA4C6}</author>
    <author>tc={2A9192D2-35CC-4B19-96C2-FEE8691CDFC7}</author>
    <author>tc={6E8AF7D7-B631-4E8F-9EE7-FC40E552706D}</author>
    <author>tc={5F9BC485-5675-42B0-9148-735DF1E17994}</author>
    <author>tc={0474F48A-2586-494C-AD47-C5C2BE71D109}</author>
    <author>tc={B863A138-945F-4448-982B-15D84508686C}</author>
    <author>tc={80708209-154A-438A-8112-5283FB2B0315}</author>
    <author>tc={8D7619F7-FB88-4610-9A48-13D445AFCF21}</author>
    <author>tc={9EEC3D72-CB8C-4D67-BCE0-329EA3D68D78}</author>
    <author>tc={5B5FBE62-46BC-429D-95B9-A1447C5A82C5}</author>
    <author>tc={8A46663A-829B-460D-85D2-A46704E3F52F}</author>
    <author>tc={817B1FB4-ADE5-40C3-910E-ADB6542EF049}</author>
    <author>tc={FD8D6B24-73DE-4975-A6FE-93D47F45EDD2}</author>
  </authors>
  <commentList>
    <comment ref="C8" authorId="0" shapeId="0" xr:uid="{8700178B-2509-4C0D-9325-41B8DDCD1AE8}">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768FD04F-AA93-4E97-AAAA-E41C098FF24E}">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0E8BC850-7AAD-4ECA-BC84-BBC15C6C08C3}">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37AA4D91-CD59-4DE9-8FE5-052D09961173}">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56CDC6A0-1AC7-48E9-94A6-7C01111991D8}">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279359C7-2973-491F-BD1C-A4478E456D27}">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1" authorId="6" shapeId="0" xr:uid="{BF227B42-A329-4041-A823-539B16240F7A}">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99" authorId="7" shapeId="0" xr:uid="{6FEC890E-52CB-43AF-964B-FACD5DF06FC2}">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0" authorId="8" shapeId="0" xr:uid="{CBDE6B9A-489F-4070-8F8A-C8743A0A7DF0}">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4" authorId="9" shapeId="0" xr:uid="{FDD55EDF-78A7-4508-86B1-49734E1C62EE}">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5" authorId="10" shapeId="0" xr:uid="{8EF1682C-310A-4AD1-931C-AE477092D6E0}">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1" authorId="11" shapeId="0" xr:uid="{9DB3A166-4679-4B43-9F6D-781A48296C82}">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0" authorId="12" shapeId="0" xr:uid="{697D19F2-43DC-46A5-806E-A6C2CA499A59}">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2" authorId="13" shapeId="0" xr:uid="{86000213-4BD4-428E-8032-16D394402BF8}">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6" authorId="14" shapeId="0" xr:uid="{1AB77008-0662-4FBC-A47B-64237C5EA648}">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37" authorId="15" shapeId="0" xr:uid="{85C85F21-E9A3-4FFB-8524-D9CBC6501382}">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0" authorId="16" shapeId="0" xr:uid="{8EFAF52E-A6CC-4D65-A137-B9D29D827046}">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3" authorId="17" shapeId="0" xr:uid="{22A539EA-0F26-4BA3-81C0-B1FD792832B3}">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47" authorId="18" shapeId="0" xr:uid="{EBBBC1A6-6D1D-4D35-B856-C88DCE94B03E}">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48" authorId="19" shapeId="0" xr:uid="{7F0CD20C-A36C-40E3-8ED1-78C3345C3470}">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49" authorId="20" shapeId="0" xr:uid="{D52091A6-817C-41B7-8E27-539164FE59CE}">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3" authorId="21" shapeId="0" xr:uid="{54932BFF-E7B5-42BB-93EC-015BB156E5D2}">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4" authorId="22" shapeId="0" xr:uid="{B02C1E20-47BD-4FE1-A127-A7C73E60C9E3}">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5" authorId="23" shapeId="0" xr:uid="{E194E2D2-AF20-4858-98FC-A65BBBE315F3}">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6" authorId="24" shapeId="0" xr:uid="{D26AF76E-1E4A-48CC-85A2-500AA8F71FAB}">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57" authorId="25" shapeId="0" xr:uid="{CADB9B51-57C1-41DC-A9C5-7F163C7166F1}">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58" authorId="26" shapeId="0" xr:uid="{B4F868B7-18AA-4F38-AF46-5AA617C2C3D3}">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59" authorId="27" shapeId="0" xr:uid="{0F6E6A63-D013-4F73-8B87-F882A5EBA4C6}">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6" authorId="28" shapeId="0" xr:uid="{2A9192D2-35CC-4B19-96C2-FEE8691CDFC7}">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67" authorId="29" shapeId="0" xr:uid="{6E8AF7D7-B631-4E8F-9EE7-FC40E552706D}">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68" authorId="30" shapeId="0" xr:uid="{5F9BC485-5675-42B0-9148-735DF1E17994}">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1" authorId="31" shapeId="0" xr:uid="{0474F48A-2586-494C-AD47-C5C2BE71D109}">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2" authorId="32" shapeId="0" xr:uid="{B863A138-945F-4448-982B-15D84508686C}">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3" authorId="33" shapeId="0" xr:uid="{80708209-154A-438A-8112-5283FB2B0315}">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5" authorId="34" shapeId="0" xr:uid="{8D7619F7-FB88-4610-9A48-13D445AFCF21}">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6" authorId="35" shapeId="0" xr:uid="{9EEC3D72-CB8C-4D67-BCE0-329EA3D68D78}">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77" authorId="36" shapeId="0" xr:uid="{5B5FBE62-46BC-429D-95B9-A1447C5A82C5}">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78" authorId="37" shapeId="0" xr:uid="{8A46663A-829B-460D-85D2-A46704E3F52F}">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2" authorId="38" shapeId="0" xr:uid="{817B1FB4-ADE5-40C3-910E-ADB6542EF049}">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3" authorId="39" shapeId="0" xr:uid="{FD8D6B24-73DE-4975-A6FE-93D47F45EDD2}">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sharedStrings.xml><?xml version="1.0" encoding="utf-8"?>
<sst xmlns="http://schemas.openxmlformats.org/spreadsheetml/2006/main" count="421" uniqueCount="350">
  <si>
    <r>
      <t xml:space="preserve">Urban Ubomi 1 (RF) Limited
</t>
    </r>
    <r>
      <rPr>
        <sz val="10"/>
        <color theme="1"/>
        <rFont val="Calibri"/>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</si>
  <si>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</si>
  <si>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</si>
  <si>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</si>
  <si>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</si>
  <si>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</si>
  <si>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</si>
  <si>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</si>
  <si>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</si>
  <si>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</si>
  <si>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</si>
  <si>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</si>
  <si>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</si>
  <si>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</si>
  <si>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</si>
  <si>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</si>
  <si>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</si>
  <si>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Limited</t>
  </si>
  <si>
    <t>Note Breakdown</t>
  </si>
  <si>
    <t xml:space="preserve">Class </t>
  </si>
  <si>
    <t>Class A1</t>
  </si>
  <si>
    <t>Class A4</t>
  </si>
  <si>
    <t>Class A7</t>
  </si>
  <si>
    <t>Class A2</t>
  </si>
  <si>
    <t>Class A5</t>
  </si>
  <si>
    <t>Class A8</t>
  </si>
  <si>
    <t>Class A9</t>
  </si>
  <si>
    <t>Class B</t>
  </si>
  <si>
    <t>Class C</t>
  </si>
  <si>
    <t>ISIN Code</t>
  </si>
  <si>
    <t>ZAG000175001</t>
  </si>
  <si>
    <t>ZAG000183567</t>
  </si>
  <si>
    <t>ZAG000191875</t>
  </si>
  <si>
    <t>ZAG000175019</t>
  </si>
  <si>
    <t>ZAG000183542</t>
  </si>
  <si>
    <t>ZAG000192006</t>
  </si>
  <si>
    <t>ZAG000192014</t>
  </si>
  <si>
    <t>ZAG000175035</t>
  </si>
  <si>
    <t>ZAG000183591</t>
  </si>
  <si>
    <t>ZAG000175043</t>
  </si>
  <si>
    <t>ZAG000183609</t>
  </si>
  <si>
    <t>ZAG000191909</t>
  </si>
  <si>
    <t>JSE Listing Code</t>
  </si>
  <si>
    <t>UU1A01</t>
  </si>
  <si>
    <t>UU1A04</t>
  </si>
  <si>
    <t>UU1A07</t>
  </si>
  <si>
    <t>UU1A02</t>
  </si>
  <si>
    <t>UU1A05</t>
  </si>
  <si>
    <t>UU1A08</t>
  </si>
  <si>
    <t>UU1A09</t>
  </si>
  <si>
    <t>UU1B01</t>
  </si>
  <si>
    <t>UU1C01</t>
  </si>
  <si>
    <t>UU1C02</t>
  </si>
  <si>
    <t>UU1C03</t>
  </si>
  <si>
    <t>Rate type</t>
  </si>
  <si>
    <t>Floating</t>
  </si>
  <si>
    <t>Fixed</t>
  </si>
  <si>
    <t xml:space="preserve">Margin for Interest Rate </t>
  </si>
  <si>
    <t>N/A</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</si>
  <si>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</si>
  <si>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</si>
  <si>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</si>
  <si>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</si>
  <si>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</si>
  <si>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</si>
  <si>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</si>
  <si>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</si>
  <si>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</si>
  <si>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</si>
  <si>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</si>
  <si>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</si>
  <si>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</si>
  <si>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</si>
  <si>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</si>
  <si>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</si>
  <si>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</si>
  <si>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</si>
  <si>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</si>
  <si>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</si>
  <si>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</si>
  <si>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</si>
  <si>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</si>
  <si>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BBB(za)(sf)</t>
  </si>
  <si>
    <t>Rating on IPD</t>
  </si>
  <si>
    <t>A+(za)(sf)</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</si>
  <si>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</si>
  <si>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</si>
  <si>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</si>
  <si>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</si>
  <si>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</si>
  <si>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</si>
  <si>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</si>
  <si>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</si>
  <si>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</si>
  <si>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</si>
  <si>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</si>
  <si>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</si>
  <si>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</si>
  <si>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</si>
  <si>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</si>
  <si>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</si>
  <si>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</si>
  <si>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</si>
  <si>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</si>
  <si>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</si>
  <si>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</si>
  <si>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</si>
  <si>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</si>
  <si>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</si>
  <si>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</si>
  <si>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</si>
  <si>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</si>
  <si>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</si>
  <si>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</si>
  <si>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</si>
  <si>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</si>
  <si>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</si>
  <si>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</si>
  <si>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</si>
  <si>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</si>
  <si>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</si>
  <si>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</si>
  <si>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</si>
  <si>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</si>
  <si>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</si>
  <si>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</si>
  <si>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</si>
  <si>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</si>
  <si>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</si>
  <si>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</si>
  <si>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</si>
  <si>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Calibri"/>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</si>
  <si>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</si>
  <si>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</si>
  <si>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</si>
  <si>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</si>
  <si>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</si>
  <si>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</si>
  <si>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</si>
  <si>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</si>
  <si>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</si>
  <si>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</si>
  <si>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</si>
  <si>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</si>
  <si>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</si>
  <si>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</si>
  <si>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</si>
  <si>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</si>
  <si>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</si>
  <si>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</si>
  <si>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</si>
  <si>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</si>
  <si>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A2 on IPD (Y/N)</t>
  </si>
  <si>
    <t>Class A Notes Outstanding (Y/N) and</t>
  </si>
  <si>
    <t>Interest Payment Date prior to Latest Coupon Step-Up Date; or</t>
  </si>
  <si>
    <t>Is Class B and Class C ratio &lt; 2x ratio as at latest Issue Date (Y/N); or</t>
  </si>
  <si>
    <t xml:space="preserve">Outstand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</si>
  <si>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</si>
  <si>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</si>
  <si>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</si>
  <si>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</si>
  <si>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</si>
  <si>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</si>
  <si>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</si>
  <si>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</si>
  <si>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PoP Item</t>
  </si>
  <si>
    <t xml:space="preserve">Amount Due / Provided </t>
  </si>
  <si>
    <t>Cash Available 
(incl. Liquidity Facility if applicable)</t>
  </si>
  <si>
    <t>Amount Paid / Provided for</t>
  </si>
  <si>
    <t>1.1 Tax</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</si>
  <si>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</si>
  <si>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</si>
  <si>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</si>
  <si>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</si>
  <si>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</si>
  <si>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</si>
  <si>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</si>
  <si>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</si>
  <si>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</si>
  <si>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</si>
  <si>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</si>
  <si>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</si>
  <si>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</si>
  <si>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6.1. Class A1, Class A4 &amp; Class A7</t>
  </si>
  <si>
    <t>6.2. Class A2, Class A5 &amp; Class A8</t>
  </si>
  <si>
    <t>6.3. Class A9</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</si>
  <si>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</si>
  <si>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</si>
  <si>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</si>
  <si>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</si>
  <si>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</si>
  <si>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</si>
  <si>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</si>
  <si>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</si>
  <si>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A1, Class A4 &amp; Class A7</t>
  </si>
  <si>
    <t>Class A2, Class A5 &amp; Class A8</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</si>
  <si>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</si>
  <si>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</si>
  <si>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</si>
  <si>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</si>
  <si>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</si>
  <si>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</si>
  <si>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</si>
  <si>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</si>
  <si>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</si>
  <si>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</si>
  <si>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</si>
  <si>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</si>
  <si>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</si>
  <si>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</si>
  <si>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</si>
  <si>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</si>
  <si>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</si>
  <si>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</si>
  <si>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</si>
  <si>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</si>
  <si>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</si>
  <si>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</si>
  <si>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</si>
  <si>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</si>
  <si>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</si>
  <si>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</si>
  <si>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</si>
  <si>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</si>
  <si>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</si>
  <si>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</si>
  <si>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</si>
  <si>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</si>
  <si>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</si>
  <si>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</si>
  <si>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</si>
  <si>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</si>
  <si>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</si>
  <si>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</si>
  <si>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</si>
  <si>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</si>
  <si>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</si>
  <si>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</si>
  <si>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</si>
  <si>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</si>
  <si>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</si>
  <si>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</si>
  <si>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</si>
  <si>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</si>
  <si>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</si>
  <si>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</si>
  <si>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</si>
  <si>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</si>
  <si>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</si>
  <si>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</si>
  <si>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</si>
  <si>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</si>
  <si>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</si>
  <si>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</si>
  <si>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</si>
  <si>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</si>
  <si>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</si>
  <si>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</si>
  <si>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</si>
  <si>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</si>
  <si>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</si>
  <si>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</si>
  <si>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</si>
  <si>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</si>
  <si>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</si>
  <si>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</si>
  <si>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</si>
  <si>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</si>
  <si>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</si>
  <si>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</si>
  <si>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</si>
  <si>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</si>
  <si>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</si>
  <si>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</si>
  <si>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</si>
  <si>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</si>
  <si>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</si>
  <si>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</si>
  <si>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</si>
  <si>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</si>
  <si>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</si>
  <si>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</si>
  <si>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</si>
  <si>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</si>
  <si>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</si>
  <si>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</si>
  <si>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</si>
  <si>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</si>
  <si>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</si>
  <si>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Ordinary Disposals</t>
  </si>
  <si>
    <t>Substitution Disposals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</si>
  <si>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</si>
  <si>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</si>
  <si>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</si>
  <si>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</si>
  <si>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</si>
  <si>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</si>
  <si>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</si>
  <si>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</si>
  <si>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</si>
  <si>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</si>
  <si>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</si>
  <si>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</si>
  <si>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</si>
  <si>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</si>
  <si>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</si>
  <si>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</si>
  <si>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</si>
  <si>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</si>
  <si>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</si>
  <si>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</si>
  <si>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</si>
  <si>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</si>
  <si>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</si>
  <si>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</si>
  <si>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</si>
  <si>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</si>
  <si>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</si>
  <si>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</si>
  <si>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</si>
  <si>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</si>
  <si>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</si>
  <si>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</si>
  <si>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</si>
  <si>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</si>
  <si>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</si>
  <si>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</si>
  <si>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</si>
  <si>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</si>
  <si>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</si>
  <si>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</si>
  <si>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</si>
  <si>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</si>
  <si>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</si>
  <si>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</si>
  <si>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</si>
  <si>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</si>
  <si>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</si>
  <si>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</si>
  <si>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</si>
  <si>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</si>
  <si>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</si>
  <si>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</si>
  <si>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</si>
  <si>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</si>
  <si>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</si>
  <si>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</si>
  <si>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</si>
  <si>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</si>
  <si>
    <t>A-(za)(sf)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</si>
</sst>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00%"/>
    <numFmt numFmtId="166" formatCode="_(* #,##0.00_);_(* \(#,##0.00\);_(* &quot;-&quot;??_);_(@_)"/>
    <numFmt numFmtId="167" formatCode="_(* #,##0_);_(* \(#,##0\);_(* &quot;-&quot;??_);_(@_)"/>
    <numFmt numFmtId="168" formatCode="_-* #,##0.0_-;\-* #,##0.0_-;_-* &quot;-&quot;??_-;_-@_-"/>
  </numFmts>
  <fonts count="16">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sz val="11"/>
      <name val="Calibri"/>
      <family val="2"/>
      <scheme val="minor"/>
    </font>
    <font>
      <i/>
      <sz val="11"/>
      <name val="Calibri"/>
      <family val="2"/>
      <scheme val="minor"/>
    </font>
    <font>
      <b/>
      <u/>
      <sz val="11"/>
      <color theme="1"/>
      <name val="Calibri"/>
      <family val="2"/>
      <scheme val="minor"/>
    </font>
    <font>
      <u/>
      <sz val="11"/>
      <color theme="1"/>
      <name val="Calibri (Body)"/>
    </font>
    <font>
      <b/>
      <i/>
      <sz val="11"/>
      <color theme="1"/>
      <name val="Calibri"/>
      <family val="2"/>
      <scheme val="minor"/>
    </font>
    <font>
      <b/>
      <i/>
      <sz val="11"/>
      <name val="Calibri"/>
      <family val="2"/>
      <scheme val="minor"/>
    </font>
    <font>
      <i/>
      <sz val="11"/>
      <color rgb="FFFF0000"/>
      <name val="Calibri"/>
      <family val="2"/>
      <scheme val="minor"/>
    </font>
    <font>
      <sz val="9"/>
      <color indexed="81"/>
      <name val="Tahoma"/>
      <charset val="1"/>
    </font>
    <font>
      <sz val="11"/>
      <color theme="1"/>
      <name val="Calibri"/>
      <family val="2"/>
    </font>
    <font>
      <b/>
      <sz val="11"/>
      <color theme="1"/>
      <name val="Calibri"/>
      <family val="2"/>
    </font>
  </fonts>
  <fills count="9">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54">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0" fillId="3" borderId="5" xfId="0" applyFill="1" applyBorder="1"/>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0" fillId="3" borderId="0" xfId="0" applyFill="1"/>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5" borderId="12" xfId="0" applyFont="1" applyFill="1" applyBorder="1"/>
    <xf numFmtId="0" fontId="2" fillId="5" borderId="13" xfId="0" applyFont="1" applyFill="1" applyBorder="1"/>
    <xf numFmtId="0" fontId="2" fillId="5" borderId="14" xfId="0" applyFont="1" applyFill="1" applyBorder="1"/>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14" fontId="5" fillId="3" borderId="17" xfId="0" applyNumberFormat="1" applyFont="1" applyFill="1" applyBorder="1" applyAlignment="1">
      <alignment horizontal="right" wrapText="1"/>
    </xf>
    <xf numFmtId="0" fontId="2" fillId="5" borderId="18" xfId="0" applyFont="1" applyFill="1" applyBorder="1"/>
    <xf numFmtId="0" fontId="2" fillId="5" borderId="19" xfId="0" applyFont="1" applyFill="1" applyBorder="1"/>
    <xf numFmtId="0" fontId="2" fillId="5" borderId="20" xfId="0" applyFont="1" applyFill="1" applyBorder="1"/>
    <xf numFmtId="14" fontId="5" fillId="3" borderId="21" xfId="0" applyNumberFormat="1" applyFont="1" applyFill="1" applyBorder="1" applyAlignment="1">
      <alignment horizontal="right" wrapText="1"/>
    </xf>
    <xf numFmtId="14" fontId="5" fillId="3" borderId="22" xfId="0" applyNumberFormat="1" applyFont="1" applyFill="1" applyBorder="1" applyAlignment="1">
      <alignment horizontal="right" wrapText="1"/>
    </xf>
    <xf numFmtId="14" fontId="5" fillId="3" borderId="23" xfId="0" applyNumberFormat="1" applyFont="1" applyFill="1" applyBorder="1" applyAlignment="1">
      <alignment horizontal="right" wrapText="1"/>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2" fillId="5" borderId="26" xfId="0" applyFont="1" applyFill="1" applyBorder="1" applyAlignment="1">
      <alignment horizontal="left" vertical="center"/>
    </xf>
    <xf numFmtId="0" fontId="2" fillId="5" borderId="22" xfId="0" applyFont="1" applyFill="1" applyBorder="1"/>
    <xf numFmtId="0" fontId="2" fillId="5" borderId="18" xfId="0" applyFont="1" applyFill="1" applyBorder="1" applyAlignment="1">
      <alignment horizontal="left" vertical="center"/>
    </xf>
    <xf numFmtId="0" fontId="2" fillId="5" borderId="19" xfId="0" applyFont="1" applyFill="1" applyBorder="1" applyAlignment="1">
      <alignment horizontal="left" vertical="center"/>
    </xf>
    <xf numFmtId="0" fontId="2" fillId="5" borderId="27" xfId="0" applyFont="1" applyFill="1" applyBorder="1" applyAlignment="1">
      <alignment horizontal="left" vertical="center"/>
    </xf>
    <xf numFmtId="0" fontId="2" fillId="5" borderId="28" xfId="0" applyFont="1" applyFill="1" applyBorder="1"/>
    <xf numFmtId="0" fontId="2" fillId="5" borderId="18" xfId="0" applyFont="1" applyFill="1" applyBorder="1" applyAlignment="1">
      <alignment horizontal="left" vertical="center"/>
    </xf>
    <xf numFmtId="0" fontId="2" fillId="5" borderId="0" xfId="0" applyFont="1" applyFill="1" applyAlignment="1">
      <alignment horizontal="left" vertical="center"/>
    </xf>
    <xf numFmtId="0" fontId="2" fillId="5" borderId="29" xfId="0" applyFont="1" applyFill="1" applyBorder="1" applyAlignment="1">
      <alignment horizontal="left" vertical="center"/>
    </xf>
    <xf numFmtId="0" fontId="2" fillId="5" borderId="29" xfId="0" applyFont="1" applyFill="1" applyBorder="1"/>
    <xf numFmtId="164" fontId="5" fillId="3" borderId="21" xfId="1" applyNumberFormat="1" applyFont="1" applyFill="1" applyBorder="1" applyAlignment="1">
      <alignment horizontal="right" wrapText="1"/>
    </xf>
    <xf numFmtId="164" fontId="5" fillId="3" borderId="22" xfId="1" applyNumberFormat="1" applyFont="1" applyFill="1" applyBorder="1" applyAlignment="1">
      <alignment horizontal="right" wrapText="1"/>
    </xf>
    <xf numFmtId="164" fontId="5" fillId="3" borderId="23" xfId="1" applyNumberFormat="1" applyFont="1" applyFill="1" applyBorder="1" applyAlignment="1">
      <alignment horizontal="right" wrapText="1"/>
    </xf>
    <xf numFmtId="0" fontId="2" fillId="5" borderId="30" xfId="0" applyFont="1" applyFill="1" applyBorder="1"/>
    <xf numFmtId="0" fontId="2" fillId="5" borderId="31" xfId="0" applyFont="1" applyFill="1" applyBorder="1"/>
    <xf numFmtId="0" fontId="2" fillId="5" borderId="32" xfId="0" applyFont="1" applyFill="1" applyBorder="1"/>
    <xf numFmtId="0" fontId="2" fillId="5" borderId="20" xfId="0" applyFont="1" applyFill="1" applyBorder="1" applyAlignment="1">
      <alignment horizontal="left" vertical="center"/>
    </xf>
    <xf numFmtId="0" fontId="2" fillId="5" borderId="19" xfId="0" applyFont="1" applyFill="1" applyBorder="1" applyAlignment="1">
      <alignment horizontal="left" vertical="center"/>
    </xf>
    <xf numFmtId="0" fontId="2" fillId="5" borderId="30" xfId="0" applyFont="1" applyFill="1" applyBorder="1" applyAlignment="1">
      <alignment horizontal="left" vertical="center"/>
    </xf>
    <xf numFmtId="164" fontId="5" fillId="3" borderId="21" xfId="1" applyNumberFormat="1" applyFont="1" applyFill="1" applyBorder="1" applyAlignment="1">
      <alignment horizontal="right"/>
    </xf>
    <xf numFmtId="164" fontId="5" fillId="3" borderId="22" xfId="1" applyNumberFormat="1" applyFont="1" applyFill="1" applyBorder="1" applyAlignment="1">
      <alignment horizontal="right"/>
    </xf>
    <xf numFmtId="164" fontId="5" fillId="3" borderId="23" xfId="1" applyNumberFormat="1" applyFont="1" applyFill="1" applyBorder="1" applyAlignment="1">
      <alignment horizontal="right"/>
    </xf>
    <xf numFmtId="164" fontId="0" fillId="2" borderId="0" xfId="0" applyNumberFormat="1" applyFill="1"/>
    <xf numFmtId="0" fontId="2" fillId="5" borderId="6" xfId="0" applyFont="1" applyFill="1" applyBorder="1"/>
    <xf numFmtId="0" fontId="2" fillId="5" borderId="7" xfId="0" applyFont="1" applyFill="1" applyBorder="1"/>
    <xf numFmtId="0" fontId="0" fillId="3" borderId="33" xfId="0" applyFill="1" applyBorder="1" applyAlignment="1">
      <alignment horizontal="right"/>
    </xf>
    <xf numFmtId="0" fontId="0" fillId="3" borderId="34" xfId="0" applyFill="1" applyBorder="1" applyAlignment="1">
      <alignment horizontal="right"/>
    </xf>
    <xf numFmtId="0" fontId="0" fillId="3" borderId="35" xfId="0" applyFill="1" applyBorder="1" applyAlignment="1">
      <alignment horizontal="right"/>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0" fillId="5" borderId="29" xfId="0" applyFill="1" applyBorder="1"/>
    <xf numFmtId="0" fontId="2" fillId="5" borderId="21" xfId="0" applyFont="1" applyFill="1" applyBorder="1"/>
    <xf numFmtId="0" fontId="2" fillId="5" borderId="36" xfId="0" applyFont="1" applyFill="1" applyBorder="1"/>
    <xf numFmtId="0" fontId="2" fillId="5" borderId="4" xfId="0" applyFont="1" applyFill="1" applyBorder="1"/>
    <xf numFmtId="0" fontId="0" fillId="5" borderId="0" xfId="0" applyFill="1"/>
    <xf numFmtId="0" fontId="0" fillId="3" borderId="22" xfId="0" applyFill="1" applyBorder="1" applyAlignment="1">
      <alignment horizontal="center"/>
    </xf>
    <xf numFmtId="0" fontId="0" fillId="3" borderId="21" xfId="0" applyFill="1" applyBorder="1" applyAlignment="1">
      <alignment horizontal="center"/>
    </xf>
    <xf numFmtId="0" fontId="6" fillId="3" borderId="36" xfId="0" applyFont="1" applyFill="1" applyBorder="1" applyAlignment="1">
      <alignment horizontal="center"/>
    </xf>
    <xf numFmtId="0" fontId="0" fillId="3" borderId="36" xfId="0" applyFill="1" applyBorder="1" applyAlignment="1">
      <alignment horizontal="center"/>
    </xf>
    <xf numFmtId="0" fontId="6" fillId="3" borderId="22" xfId="0" applyFont="1" applyFill="1" applyBorder="1" applyAlignment="1">
      <alignment horizontal="center"/>
    </xf>
    <xf numFmtId="0" fontId="6" fillId="3" borderId="21" xfId="0" applyFont="1" applyFill="1" applyBorder="1" applyAlignment="1">
      <alignment horizontal="center"/>
    </xf>
    <xf numFmtId="10" fontId="5" fillId="3" borderId="22" xfId="0" applyNumberFormat="1" applyFont="1" applyFill="1" applyBorder="1"/>
    <xf numFmtId="10" fontId="5" fillId="3" borderId="22" xfId="2" applyNumberFormat="1" applyFont="1" applyFill="1" applyBorder="1" applyAlignment="1"/>
    <xf numFmtId="10" fontId="7" fillId="3" borderId="22" xfId="2" applyNumberFormat="1" applyFont="1" applyFill="1" applyBorder="1" applyAlignment="1"/>
    <xf numFmtId="10" fontId="7" fillId="3" borderId="22" xfId="2" applyNumberFormat="1" applyFont="1" applyFill="1" applyBorder="1" applyAlignment="1">
      <alignment horizontal="right"/>
    </xf>
    <xf numFmtId="10" fontId="7" fillId="3" borderId="21" xfId="2" applyNumberFormat="1" applyFont="1" applyFill="1" applyBorder="1" applyAlignment="1"/>
    <xf numFmtId="10" fontId="7" fillId="3" borderId="36" xfId="2" applyNumberFormat="1" applyFont="1" applyFill="1" applyBorder="1" applyAlignment="1"/>
    <xf numFmtId="165" fontId="7" fillId="3" borderId="22" xfId="2" applyNumberFormat="1" applyFont="1" applyFill="1" applyBorder="1" applyAlignment="1">
      <alignment horizontal="right"/>
    </xf>
    <xf numFmtId="164" fontId="5" fillId="3" borderId="22" xfId="1" applyNumberFormat="1" applyFont="1" applyFill="1" applyBorder="1" applyAlignment="1"/>
    <xf numFmtId="164" fontId="7" fillId="3" borderId="22" xfId="1" applyNumberFormat="1" applyFont="1" applyFill="1" applyBorder="1" applyAlignment="1"/>
    <xf numFmtId="164" fontId="7" fillId="3" borderId="21" xfId="1" applyNumberFormat="1" applyFont="1" applyFill="1" applyBorder="1" applyAlignment="1"/>
    <xf numFmtId="164" fontId="7" fillId="3" borderId="36" xfId="1" applyNumberFormat="1" applyFont="1" applyFill="1" applyBorder="1" applyAlignment="1"/>
    <xf numFmtId="10" fontId="7" fillId="3" borderId="23" xfId="2" applyNumberFormat="1" applyFont="1" applyFill="1" applyBorder="1" applyAlignment="1"/>
    <xf numFmtId="0" fontId="0" fillId="5" borderId="30" xfId="0" applyFill="1" applyBorder="1" applyAlignment="1">
      <alignment horizontal="left" indent="1"/>
    </xf>
    <xf numFmtId="0" fontId="0" fillId="5" borderId="4" xfId="0" applyFill="1" applyBorder="1" applyAlignment="1">
      <alignment horizontal="left" indent="1"/>
    </xf>
    <xf numFmtId="15" fontId="7" fillId="3" borderId="22" xfId="0" applyNumberFormat="1" applyFont="1" applyFill="1" applyBorder="1"/>
    <xf numFmtId="15" fontId="7" fillId="3" borderId="21" xfId="0" applyNumberFormat="1" applyFont="1" applyFill="1" applyBorder="1"/>
    <xf numFmtId="15" fontId="7" fillId="3" borderId="23" xfId="0" applyNumberFormat="1" applyFont="1" applyFill="1" applyBorder="1"/>
    <xf numFmtId="0" fontId="5" fillId="3" borderId="22" xfId="0" applyFont="1" applyFill="1" applyBorder="1" applyAlignment="1">
      <alignment horizontal="center"/>
    </xf>
    <xf numFmtId="0" fontId="5" fillId="3" borderId="21" xfId="0" applyFont="1" applyFill="1" applyBorder="1" applyAlignment="1">
      <alignment horizontal="center"/>
    </xf>
    <xf numFmtId="0" fontId="5" fillId="3" borderId="36" xfId="0" applyFont="1" applyFill="1" applyBorder="1" applyAlignment="1">
      <alignment horizontal="center"/>
    </xf>
    <xf numFmtId="0" fontId="2" fillId="5" borderId="37" xfId="0" applyFont="1" applyFill="1" applyBorder="1"/>
    <xf numFmtId="0" fontId="0" fillId="5" borderId="38" xfId="0" applyFill="1" applyBorder="1"/>
    <xf numFmtId="0" fontId="5" fillId="3" borderId="34" xfId="0" applyFont="1" applyFill="1" applyBorder="1" applyAlignment="1">
      <alignment horizontal="center"/>
    </xf>
    <xf numFmtId="0" fontId="5" fillId="3" borderId="33" xfId="0" applyFont="1" applyFill="1" applyBorder="1" applyAlignment="1">
      <alignment horizontal="center"/>
    </xf>
    <xf numFmtId="0" fontId="5" fillId="3" borderId="39"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8" fillId="6" borderId="40" xfId="0" applyFont="1" applyFill="1" applyBorder="1" applyAlignment="1">
      <alignment horizontal="center"/>
    </xf>
    <xf numFmtId="0" fontId="2" fillId="7" borderId="30" xfId="0" applyFont="1" applyFill="1" applyBorder="1" applyAlignment="1">
      <alignment horizontal="center"/>
    </xf>
    <xf numFmtId="0" fontId="2" fillId="7" borderId="29" xfId="0" applyFont="1" applyFill="1" applyBorder="1" applyAlignment="1">
      <alignment horizontal="center"/>
    </xf>
    <xf numFmtId="0" fontId="2" fillId="7" borderId="36" xfId="0" applyFont="1" applyFill="1" applyBorder="1" applyAlignment="1">
      <alignment horizontal="center"/>
    </xf>
    <xf numFmtId="4" fontId="0" fillId="2" borderId="0" xfId="0" applyNumberFormat="1" applyFill="1"/>
    <xf numFmtId="0" fontId="2" fillId="5" borderId="24" xfId="0" applyFont="1" applyFill="1" applyBorder="1"/>
    <xf numFmtId="0" fontId="0" fillId="5" borderId="25" xfId="0" applyFill="1" applyBorder="1"/>
    <xf numFmtId="0" fontId="0" fillId="5" borderId="26" xfId="0" applyFill="1" applyBorder="1"/>
    <xf numFmtId="164" fontId="7" fillId="3" borderId="22" xfId="1" applyNumberFormat="1" applyFont="1" applyFill="1" applyBorder="1" applyAlignment="1">
      <alignment horizontal="center"/>
    </xf>
    <xf numFmtId="164" fontId="7" fillId="3" borderId="29" xfId="1" applyNumberFormat="1" applyFont="1" applyFill="1" applyBorder="1" applyAlignment="1">
      <alignment horizontal="center"/>
    </xf>
    <xf numFmtId="164" fontId="7" fillId="3" borderId="36" xfId="1" applyNumberFormat="1" applyFont="1" applyFill="1" applyBorder="1" applyAlignment="1">
      <alignment horizontal="center"/>
    </xf>
    <xf numFmtId="166" fontId="0" fillId="2" borderId="0" xfId="0" applyNumberFormat="1" applyFill="1"/>
    <xf numFmtId="0" fontId="0" fillId="5" borderId="31" xfId="0" applyFill="1" applyBorder="1"/>
    <xf numFmtId="164" fontId="7" fillId="3" borderId="28" xfId="0" applyNumberFormat="1" applyFont="1" applyFill="1" applyBorder="1" applyAlignment="1">
      <alignment horizontal="center"/>
    </xf>
    <xf numFmtId="164" fontId="7" fillId="3" borderId="25" xfId="0" applyNumberFormat="1" applyFont="1" applyFill="1" applyBorder="1" applyAlignment="1">
      <alignment horizontal="center"/>
    </xf>
    <xf numFmtId="164" fontId="7" fillId="3" borderId="41" xfId="0" applyNumberFormat="1" applyFont="1" applyFill="1" applyBorder="1" applyAlignment="1">
      <alignment horizontal="center"/>
    </xf>
    <xf numFmtId="164" fontId="5" fillId="3" borderId="42" xfId="1" applyNumberFormat="1" applyFont="1" applyFill="1" applyBorder="1" applyAlignment="1">
      <alignment horizontal="center"/>
    </xf>
    <xf numFmtId="164" fontId="5" fillId="3" borderId="0" xfId="1" applyNumberFormat="1" applyFont="1" applyFill="1" applyBorder="1" applyAlignment="1">
      <alignment horizontal="center"/>
    </xf>
    <xf numFmtId="164" fontId="5" fillId="3" borderId="5" xfId="1" applyNumberFormat="1" applyFont="1" applyFill="1" applyBorder="1" applyAlignment="1">
      <alignment horizontal="center"/>
    </xf>
    <xf numFmtId="164" fontId="5" fillId="3" borderId="42" xfId="1" applyNumberFormat="1" applyFont="1" applyFill="1" applyBorder="1" applyAlignment="1"/>
    <xf numFmtId="164" fontId="5" fillId="3" borderId="0" xfId="1" applyNumberFormat="1" applyFont="1" applyFill="1" applyBorder="1" applyAlignment="1">
      <alignment horizontal="right"/>
    </xf>
    <xf numFmtId="164" fontId="5" fillId="3" borderId="32" xfId="1" applyNumberFormat="1" applyFont="1" applyFill="1" applyBorder="1" applyAlignment="1"/>
    <xf numFmtId="164" fontId="5" fillId="0" borderId="0" xfId="1" applyNumberFormat="1" applyFont="1" applyFill="1" applyBorder="1" applyAlignment="1">
      <alignment horizontal="right"/>
    </xf>
    <xf numFmtId="164" fontId="1" fillId="3" borderId="5" xfId="1" applyNumberFormat="1" applyFont="1" applyFill="1" applyBorder="1" applyAlignment="1"/>
    <xf numFmtId="164" fontId="7" fillId="3" borderId="25" xfId="1" applyNumberFormat="1" applyFont="1" applyFill="1" applyBorder="1" applyAlignment="1">
      <alignment horizontal="center"/>
    </xf>
    <xf numFmtId="164" fontId="7" fillId="3" borderId="41" xfId="1" applyNumberFormat="1" applyFont="1" applyFill="1" applyBorder="1" applyAlignment="1">
      <alignment horizontal="center"/>
    </xf>
    <xf numFmtId="0" fontId="0" fillId="5" borderId="27" xfId="0" applyFill="1" applyBorder="1"/>
    <xf numFmtId="0" fontId="0" fillId="5" borderId="18" xfId="0" applyFill="1" applyBorder="1" applyAlignment="1">
      <alignment horizontal="left" indent="1"/>
    </xf>
    <xf numFmtId="0" fontId="0" fillId="5" borderId="19" xfId="0" applyFill="1" applyBorder="1"/>
    <xf numFmtId="0" fontId="0" fillId="5" borderId="20" xfId="0" applyFill="1" applyBorder="1"/>
    <xf numFmtId="164" fontId="7" fillId="3" borderId="28" xfId="1" applyNumberFormat="1" applyFont="1" applyFill="1" applyBorder="1" applyAlignment="1">
      <alignment horizontal="center"/>
    </xf>
    <xf numFmtId="164" fontId="0" fillId="3" borderId="5" xfId="1" applyNumberFormat="1" applyFont="1" applyFill="1" applyBorder="1" applyAlignment="1"/>
    <xf numFmtId="0" fontId="0" fillId="5" borderId="4" xfId="0" applyFill="1" applyBorder="1" applyAlignment="1">
      <alignment horizontal="left" indent="2"/>
    </xf>
    <xf numFmtId="164" fontId="0" fillId="3" borderId="0" xfId="1" applyNumberFormat="1" applyFont="1" applyFill="1" applyBorder="1" applyAlignment="1">
      <alignment horizontal="right"/>
    </xf>
    <xf numFmtId="164" fontId="0" fillId="3" borderId="43" xfId="1" applyNumberFormat="1" applyFont="1" applyFill="1" applyBorder="1" applyAlignment="1"/>
    <xf numFmtId="0" fontId="2" fillId="5" borderId="24" xfId="0" applyFont="1" applyFill="1" applyBorder="1" applyAlignment="1">
      <alignment horizontal="left"/>
    </xf>
    <xf numFmtId="164" fontId="0" fillId="2" borderId="0" xfId="1" applyNumberFormat="1" applyFont="1" applyFill="1"/>
    <xf numFmtId="164" fontId="1" fillId="3" borderId="5" xfId="1" applyNumberFormat="1" applyFont="1" applyFill="1" applyBorder="1" applyAlignment="1">
      <alignment horizontal="right"/>
    </xf>
    <xf numFmtId="164" fontId="7" fillId="3" borderId="42" xfId="1" applyNumberFormat="1" applyFont="1" applyFill="1" applyBorder="1" applyAlignment="1">
      <alignment horizontal="center"/>
    </xf>
    <xf numFmtId="164" fontId="7" fillId="3" borderId="0" xfId="1" applyNumberFormat="1" applyFont="1" applyFill="1" applyBorder="1" applyAlignment="1">
      <alignment horizontal="center"/>
    </xf>
    <xf numFmtId="164" fontId="1" fillId="3" borderId="0" xfId="1" applyNumberFormat="1" applyFont="1" applyFill="1" applyBorder="1" applyAlignment="1">
      <alignment horizontal="right"/>
    </xf>
    <xf numFmtId="164" fontId="1" fillId="3" borderId="0" xfId="1" applyNumberFormat="1" applyFont="1" applyFill="1" applyBorder="1" applyAlignment="1"/>
    <xf numFmtId="164" fontId="5" fillId="3" borderId="32" xfId="1" applyNumberFormat="1" applyFont="1" applyFill="1" applyBorder="1" applyAlignment="1">
      <alignment horizontal="center"/>
    </xf>
    <xf numFmtId="164" fontId="5" fillId="3" borderId="19" xfId="1" applyNumberFormat="1" applyFont="1" applyFill="1" applyBorder="1" applyAlignment="1">
      <alignment horizontal="center"/>
    </xf>
    <xf numFmtId="164" fontId="1" fillId="3" borderId="43" xfId="1" applyNumberFormat="1" applyFont="1" applyFill="1" applyBorder="1" applyAlignment="1">
      <alignment horizontal="right"/>
    </xf>
    <xf numFmtId="0" fontId="2" fillId="5" borderId="4" xfId="0" applyFont="1" applyFill="1" applyBorder="1" applyAlignment="1">
      <alignment horizontal="left"/>
    </xf>
    <xf numFmtId="0" fontId="0" fillId="5" borderId="6" xfId="0" applyFill="1" applyBorder="1" applyAlignment="1">
      <alignment horizontal="left" indent="1"/>
    </xf>
    <xf numFmtId="0" fontId="0" fillId="5" borderId="7" xfId="0" applyFill="1" applyBorder="1"/>
    <xf numFmtId="164" fontId="5" fillId="3" borderId="44" xfId="1" applyNumberFormat="1" applyFont="1" applyFill="1" applyBorder="1" applyAlignment="1">
      <alignment horizontal="center"/>
    </xf>
    <xf numFmtId="164" fontId="5" fillId="3" borderId="7" xfId="1" applyNumberFormat="1" applyFont="1" applyFill="1" applyBorder="1" applyAlignment="1">
      <alignment horizontal="center"/>
    </xf>
    <xf numFmtId="0" fontId="0" fillId="3" borderId="8" xfId="0" applyFill="1" applyBorder="1"/>
    <xf numFmtId="0" fontId="0" fillId="3" borderId="0" xfId="0" applyFill="1" applyAlignment="1">
      <alignment horizontal="left" indent="1"/>
    </xf>
    <xf numFmtId="43" fontId="0" fillId="2" borderId="0" xfId="1" applyFont="1" applyFill="1"/>
    <xf numFmtId="0" fontId="8" fillId="5" borderId="25" xfId="0" applyFont="1" applyFill="1" applyBorder="1" applyAlignment="1">
      <alignment horizontal="center"/>
    </xf>
    <xf numFmtId="0" fontId="8" fillId="5" borderId="26" xfId="0" applyFont="1" applyFill="1" applyBorder="1" applyAlignment="1">
      <alignment horizontal="center"/>
    </xf>
    <xf numFmtId="164" fontId="0" fillId="3" borderId="5" xfId="0" applyNumberFormat="1" applyFill="1" applyBorder="1"/>
    <xf numFmtId="43" fontId="2" fillId="2" borderId="0" xfId="1" applyFont="1" applyFill="1"/>
    <xf numFmtId="0" fontId="0" fillId="5" borderId="45" xfId="0" applyFill="1" applyBorder="1"/>
    <xf numFmtId="164" fontId="5" fillId="0" borderId="7" xfId="1" applyNumberFormat="1" applyFont="1" applyFill="1" applyBorder="1" applyAlignment="1">
      <alignment horizontal="center"/>
    </xf>
    <xf numFmtId="164" fontId="0" fillId="3" borderId="8" xfId="1" applyNumberFormat="1" applyFont="1" applyFill="1" applyBorder="1" applyAlignment="1"/>
    <xf numFmtId="43" fontId="0" fillId="3" borderId="0" xfId="1" applyFont="1" applyFill="1" applyBorder="1" applyAlignment="1">
      <alignment horizontal="right"/>
    </xf>
    <xf numFmtId="43" fontId="0" fillId="3" borderId="0" xfId="1" applyFont="1" applyFill="1" applyBorder="1" applyAlignment="1"/>
    <xf numFmtId="0" fontId="2" fillId="5" borderId="18" xfId="0" applyFont="1" applyFill="1" applyBorder="1" applyAlignment="1">
      <alignment horizontal="left"/>
    </xf>
    <xf numFmtId="164" fontId="5" fillId="3" borderId="29" xfId="0" applyNumberFormat="1" applyFont="1" applyFill="1" applyBorder="1" applyAlignment="1">
      <alignment horizontal="center"/>
    </xf>
    <xf numFmtId="164" fontId="5" fillId="3" borderId="36" xfId="0" applyNumberFormat="1" applyFont="1" applyFill="1" applyBorder="1" applyAlignment="1">
      <alignment horizontal="center"/>
    </xf>
    <xf numFmtId="0" fontId="2" fillId="5" borderId="30" xfId="0" applyFont="1" applyFill="1" applyBorder="1" applyAlignment="1">
      <alignment horizontal="left"/>
    </xf>
    <xf numFmtId="164" fontId="5" fillId="0" borderId="29" xfId="0" applyNumberFormat="1" applyFont="1" applyBorder="1" applyAlignment="1">
      <alignment horizontal="center"/>
    </xf>
    <xf numFmtId="164" fontId="5" fillId="0" borderId="36" xfId="0" applyNumberFormat="1" applyFont="1" applyBorder="1" applyAlignment="1">
      <alignment horizontal="center"/>
    </xf>
    <xf numFmtId="0" fontId="2" fillId="5" borderId="6" xfId="0" applyFont="1" applyFill="1" applyBorder="1" applyAlignment="1">
      <alignment horizontal="left"/>
    </xf>
    <xf numFmtId="0" fontId="2" fillId="5" borderId="45" xfId="0" applyFont="1" applyFill="1" applyBorder="1"/>
    <xf numFmtId="43" fontId="5" fillId="3" borderId="38" xfId="0" applyNumberFormat="1" applyFont="1" applyFill="1" applyBorder="1" applyAlignment="1">
      <alignment horizontal="center"/>
    </xf>
    <xf numFmtId="43" fontId="5" fillId="3" borderId="39" xfId="0" applyNumberFormat="1" applyFont="1" applyFill="1" applyBorder="1" applyAlignment="1">
      <alignment horizontal="center"/>
    </xf>
    <xf numFmtId="0" fontId="8" fillId="7" borderId="4" xfId="0" applyFont="1" applyFill="1" applyBorder="1" applyAlignment="1">
      <alignment horizontal="center"/>
    </xf>
    <xf numFmtId="0" fontId="8" fillId="7" borderId="0" xfId="0" applyFont="1" applyFill="1" applyAlignment="1">
      <alignment horizontal="center"/>
    </xf>
    <xf numFmtId="0" fontId="2" fillId="7" borderId="22" xfId="0" applyFont="1" applyFill="1" applyBorder="1" applyAlignment="1">
      <alignment horizontal="center"/>
    </xf>
    <xf numFmtId="0" fontId="2" fillId="7" borderId="31" xfId="0" applyFont="1" applyFill="1" applyBorder="1" applyAlignment="1">
      <alignment horizontal="center"/>
    </xf>
    <xf numFmtId="0" fontId="2" fillId="7" borderId="28" xfId="0" applyFont="1" applyFill="1" applyBorder="1" applyAlignment="1">
      <alignment horizontal="center"/>
    </xf>
    <xf numFmtId="0" fontId="2" fillId="7" borderId="26" xfId="0" applyFont="1" applyFill="1" applyBorder="1" applyAlignment="1">
      <alignment horizontal="center"/>
    </xf>
    <xf numFmtId="43" fontId="5" fillId="3" borderId="22" xfId="1" applyFont="1" applyFill="1" applyBorder="1" applyAlignment="1">
      <alignment horizontal="center"/>
    </xf>
    <xf numFmtId="43" fontId="5" fillId="3" borderId="31" xfId="1" applyFont="1" applyFill="1" applyBorder="1" applyAlignment="1">
      <alignment horizontal="center"/>
    </xf>
    <xf numFmtId="43" fontId="5" fillId="3" borderId="36" xfId="1" applyFont="1" applyFill="1" applyBorder="1" applyAlignment="1">
      <alignment horizontal="center"/>
    </xf>
    <xf numFmtId="43" fontId="5" fillId="3" borderId="34" xfId="1" applyFont="1" applyFill="1" applyBorder="1" applyAlignment="1">
      <alignment horizontal="center"/>
    </xf>
    <xf numFmtId="43" fontId="5" fillId="3" borderId="46" xfId="1" applyFont="1" applyFill="1" applyBorder="1" applyAlignment="1">
      <alignment horizontal="center"/>
    </xf>
    <xf numFmtId="43" fontId="5" fillId="3" borderId="39" xfId="1" applyFont="1" applyFill="1" applyBorder="1" applyAlignment="1">
      <alignment horizontal="center"/>
    </xf>
    <xf numFmtId="43" fontId="5" fillId="3" borderId="28" xfId="0" applyNumberFormat="1" applyFont="1" applyFill="1" applyBorder="1" applyAlignment="1">
      <alignment horizontal="right"/>
    </xf>
    <xf numFmtId="43" fontId="5" fillId="3" borderId="25" xfId="0" applyNumberFormat="1" applyFont="1" applyFill="1" applyBorder="1" applyAlignment="1">
      <alignment horizontal="right"/>
    </xf>
    <xf numFmtId="0" fontId="5" fillId="3" borderId="41" xfId="0" applyFont="1" applyFill="1" applyBorder="1"/>
    <xf numFmtId="43" fontId="5" fillId="3" borderId="42" xfId="0" applyNumberFormat="1" applyFont="1" applyFill="1" applyBorder="1" applyAlignment="1">
      <alignment horizontal="right"/>
    </xf>
    <xf numFmtId="43" fontId="5" fillId="3" borderId="0" xfId="0" applyNumberFormat="1" applyFont="1" applyFill="1" applyAlignment="1">
      <alignment horizontal="right"/>
    </xf>
    <xf numFmtId="0" fontId="5" fillId="3" borderId="5" xfId="0" applyFont="1" applyFill="1" applyBorder="1"/>
    <xf numFmtId="0" fontId="10" fillId="3" borderId="32" xfId="0" applyFont="1" applyFill="1" applyBorder="1" applyAlignment="1">
      <alignment horizontal="right"/>
    </xf>
    <xf numFmtId="0" fontId="10" fillId="3" borderId="19" xfId="0" applyFont="1" applyFill="1" applyBorder="1" applyAlignment="1">
      <alignment horizontal="right"/>
    </xf>
    <xf numFmtId="0" fontId="10" fillId="3" borderId="43" xfId="0" applyFont="1" applyFill="1" applyBorder="1" applyAlignment="1">
      <alignment horizontal="right"/>
    </xf>
    <xf numFmtId="0" fontId="0" fillId="5" borderId="24" xfId="0" applyFill="1" applyBorder="1" applyAlignment="1">
      <alignment horizontal="left" indent="1"/>
    </xf>
    <xf numFmtId="0" fontId="2" fillId="5" borderId="25" xfId="0" applyFont="1" applyFill="1" applyBorder="1" applyAlignment="1">
      <alignment horizontal="right"/>
    </xf>
    <xf numFmtId="0" fontId="5" fillId="3" borderId="42" xfId="0" applyFont="1" applyFill="1" applyBorder="1" applyAlignment="1">
      <alignment horizontal="right"/>
    </xf>
    <xf numFmtId="0" fontId="5" fillId="3" borderId="0" xfId="0" applyFont="1" applyFill="1" applyAlignment="1">
      <alignment horizontal="right"/>
    </xf>
    <xf numFmtId="0" fontId="2" fillId="3" borderId="5" xfId="0" applyFont="1" applyFill="1" applyBorder="1" applyAlignment="1">
      <alignment horizontal="right"/>
    </xf>
    <xf numFmtId="0" fontId="2" fillId="5" borderId="0" xfId="0" applyFont="1" applyFill="1" applyAlignment="1">
      <alignment horizontal="right"/>
    </xf>
    <xf numFmtId="0" fontId="2" fillId="5" borderId="19" xfId="0" applyFont="1" applyFill="1" applyBorder="1" applyAlignment="1">
      <alignment horizontal="right"/>
    </xf>
    <xf numFmtId="0" fontId="2" fillId="3" borderId="41" xfId="0" applyFont="1" applyFill="1" applyBorder="1" applyAlignment="1">
      <alignment horizontal="right"/>
    </xf>
    <xf numFmtId="0" fontId="2" fillId="5" borderId="7" xfId="0" applyFont="1" applyFill="1" applyBorder="1" applyAlignment="1">
      <alignment horizontal="right"/>
    </xf>
    <xf numFmtId="0" fontId="10" fillId="3" borderId="44" xfId="0" applyFont="1" applyFill="1" applyBorder="1" applyAlignment="1">
      <alignment horizontal="right"/>
    </xf>
    <xf numFmtId="0" fontId="10" fillId="3" borderId="7" xfId="0" applyFont="1" applyFill="1" applyBorder="1" applyAlignment="1">
      <alignment horizontal="right"/>
    </xf>
    <xf numFmtId="0" fontId="10" fillId="3" borderId="8" xfId="0" applyFont="1" applyFill="1" applyBorder="1" applyAlignment="1">
      <alignment horizontal="right"/>
    </xf>
    <xf numFmtId="0" fontId="2" fillId="5" borderId="30" xfId="0" applyFont="1" applyFill="1" applyBorder="1" applyAlignment="1">
      <alignment horizontal="left" vertical="center"/>
    </xf>
    <xf numFmtId="0" fontId="2" fillId="5" borderId="29" xfId="0" applyFont="1" applyFill="1" applyBorder="1" applyAlignment="1">
      <alignment horizontal="left" vertical="center"/>
    </xf>
    <xf numFmtId="0" fontId="2" fillId="5" borderId="31" xfId="0" applyFont="1" applyFill="1" applyBorder="1" applyAlignment="1">
      <alignment horizontal="left" vertical="center"/>
    </xf>
    <xf numFmtId="0" fontId="2" fillId="5" borderId="22" xfId="0" applyFont="1" applyFill="1" applyBorder="1" applyAlignment="1">
      <alignment horizontal="center" vertical="center"/>
    </xf>
    <xf numFmtId="0" fontId="2" fillId="5" borderId="29" xfId="0" applyFont="1" applyFill="1" applyBorder="1" applyAlignment="1">
      <alignment horizontal="center" vertical="center"/>
    </xf>
    <xf numFmtId="0" fontId="2" fillId="5" borderId="31" xfId="0" applyFont="1" applyFill="1" applyBorder="1" applyAlignment="1">
      <alignment horizontal="center" vertical="center"/>
    </xf>
    <xf numFmtId="0" fontId="2" fillId="5" borderId="22"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36" xfId="0" applyFont="1" applyFill="1" applyBorder="1" applyAlignment="1">
      <alignment horizontal="center" vertical="center"/>
    </xf>
    <xf numFmtId="164" fontId="7" fillId="3" borderId="42" xfId="1" applyNumberFormat="1" applyFont="1" applyFill="1" applyBorder="1" applyAlignment="1">
      <alignment horizontal="right"/>
    </xf>
    <xf numFmtId="164" fontId="7" fillId="3" borderId="0" xfId="1" applyNumberFormat="1" applyFont="1" applyFill="1" applyBorder="1" applyAlignment="1">
      <alignment horizontal="right"/>
    </xf>
    <xf numFmtId="164" fontId="5" fillId="3" borderId="20" xfId="1" applyNumberFormat="1" applyFont="1" applyFill="1" applyBorder="1" applyAlignment="1">
      <alignment horizontal="center"/>
    </xf>
    <xf numFmtId="164" fontId="5" fillId="3" borderId="22" xfId="1" applyNumberFormat="1" applyFont="1" applyFill="1" applyBorder="1" applyAlignment="1">
      <alignment horizontal="center"/>
    </xf>
    <xf numFmtId="164" fontId="5" fillId="3" borderId="36" xfId="1" applyNumberFormat="1" applyFont="1" applyFill="1" applyBorder="1" applyAlignment="1">
      <alignment horizontal="center"/>
    </xf>
    <xf numFmtId="164" fontId="5" fillId="3" borderId="28" xfId="1" applyNumberFormat="1" applyFont="1" applyFill="1" applyBorder="1" applyAlignment="1">
      <alignment horizontal="right"/>
    </xf>
    <xf numFmtId="164" fontId="5" fillId="3" borderId="25" xfId="1" applyNumberFormat="1" applyFont="1" applyFill="1" applyBorder="1" applyAlignment="1">
      <alignment horizontal="right"/>
    </xf>
    <xf numFmtId="164" fontId="5" fillId="3" borderId="28" xfId="1" applyNumberFormat="1" applyFont="1" applyFill="1" applyBorder="1" applyAlignment="1">
      <alignment horizontal="center"/>
    </xf>
    <xf numFmtId="164" fontId="5" fillId="3" borderId="25" xfId="1" applyNumberFormat="1" applyFont="1" applyFill="1" applyBorder="1" applyAlignment="1">
      <alignment horizontal="center"/>
    </xf>
    <xf numFmtId="164" fontId="5" fillId="3" borderId="26" xfId="1" applyNumberFormat="1" applyFont="1" applyFill="1" applyBorder="1" applyAlignment="1">
      <alignment horizontal="center"/>
    </xf>
    <xf numFmtId="164" fontId="5" fillId="3" borderId="41" xfId="1" applyNumberFormat="1" applyFont="1" applyFill="1" applyBorder="1" applyAlignment="1">
      <alignment horizontal="center"/>
    </xf>
    <xf numFmtId="164" fontId="5" fillId="3" borderId="42" xfId="1" applyNumberFormat="1" applyFont="1" applyFill="1" applyBorder="1" applyAlignment="1">
      <alignment horizontal="right"/>
    </xf>
    <xf numFmtId="164" fontId="5" fillId="3" borderId="0" xfId="1" applyNumberFormat="1" applyFont="1" applyFill="1" applyBorder="1" applyAlignment="1">
      <alignment horizontal="right"/>
    </xf>
    <xf numFmtId="164" fontId="5" fillId="3" borderId="0" xfId="1" applyNumberFormat="1" applyFont="1" applyFill="1" applyBorder="1" applyAlignment="1">
      <alignment horizontal="center"/>
    </xf>
    <xf numFmtId="164" fontId="5" fillId="3" borderId="27" xfId="1" applyNumberFormat="1" applyFont="1" applyFill="1" applyBorder="1" applyAlignment="1"/>
    <xf numFmtId="164" fontId="5" fillId="3" borderId="5" xfId="1" applyNumberFormat="1" applyFont="1" applyFill="1" applyBorder="1" applyAlignment="1">
      <alignment horizontal="center"/>
    </xf>
    <xf numFmtId="164" fontId="5" fillId="3" borderId="19" xfId="1" applyNumberFormat="1" applyFont="1" applyFill="1" applyBorder="1" applyAlignment="1">
      <alignment horizontal="center"/>
    </xf>
    <xf numFmtId="164" fontId="5" fillId="3" borderId="20" xfId="1" applyNumberFormat="1" applyFont="1" applyFill="1" applyBorder="1" applyAlignment="1"/>
    <xf numFmtId="164" fontId="5" fillId="3" borderId="43" xfId="1" applyNumberFormat="1" applyFont="1" applyFill="1" applyBorder="1" applyAlignment="1">
      <alignment horizontal="center"/>
    </xf>
    <xf numFmtId="164" fontId="5" fillId="3" borderId="32" xfId="1" applyNumberFormat="1" applyFont="1" applyFill="1" applyBorder="1" applyAlignment="1">
      <alignment horizontal="right"/>
    </xf>
    <xf numFmtId="164" fontId="5" fillId="3" borderId="19" xfId="1" applyNumberFormat="1" applyFont="1" applyFill="1" applyBorder="1" applyAlignment="1">
      <alignment horizontal="right"/>
    </xf>
    <xf numFmtId="164" fontId="5" fillId="3" borderId="26" xfId="1" applyNumberFormat="1" applyFont="1" applyFill="1" applyBorder="1" applyAlignment="1">
      <alignment horizontal="right"/>
    </xf>
    <xf numFmtId="164" fontId="5" fillId="3" borderId="27" xfId="1" applyNumberFormat="1" applyFont="1" applyFill="1" applyBorder="1" applyAlignment="1">
      <alignment horizontal="center"/>
    </xf>
    <xf numFmtId="164" fontId="5" fillId="3" borderId="20" xfId="1" applyNumberFormat="1" applyFont="1" applyFill="1" applyBorder="1" applyAlignment="1">
      <alignment horizontal="right"/>
    </xf>
    <xf numFmtId="164" fontId="5" fillId="3" borderId="43" xfId="1" applyNumberFormat="1" applyFont="1" applyFill="1" applyBorder="1" applyAlignment="1">
      <alignment horizontal="right"/>
    </xf>
    <xf numFmtId="164" fontId="5" fillId="3" borderId="29" xfId="1" applyNumberFormat="1" applyFont="1" applyFill="1" applyBorder="1" applyAlignment="1">
      <alignment horizontal="center"/>
    </xf>
    <xf numFmtId="164" fontId="5" fillId="3" borderId="31" xfId="1" applyNumberFormat="1" applyFont="1" applyFill="1" applyBorder="1" applyAlignment="1">
      <alignment horizontal="center"/>
    </xf>
    <xf numFmtId="164" fontId="5" fillId="3" borderId="27" xfId="1" applyNumberFormat="1" applyFont="1" applyFill="1" applyBorder="1" applyAlignment="1">
      <alignment horizontal="center"/>
    </xf>
    <xf numFmtId="164" fontId="5" fillId="3" borderId="0" xfId="1" applyNumberFormat="1" applyFont="1" applyFill="1" applyBorder="1" applyAlignment="1"/>
    <xf numFmtId="164" fontId="5" fillId="3" borderId="21" xfId="1" applyNumberFormat="1" applyFont="1" applyFill="1" applyBorder="1" applyAlignment="1">
      <alignment horizontal="center"/>
    </xf>
    <xf numFmtId="164" fontId="5" fillId="3" borderId="27" xfId="1" applyNumberFormat="1" applyFont="1" applyFill="1" applyBorder="1" applyAlignment="1">
      <alignment horizontal="right"/>
    </xf>
    <xf numFmtId="164" fontId="5" fillId="3" borderId="5" xfId="1" applyNumberFormat="1" applyFont="1" applyFill="1" applyBorder="1" applyAlignment="1">
      <alignment horizontal="right"/>
    </xf>
    <xf numFmtId="164" fontId="5" fillId="3" borderId="47" xfId="1" applyNumberFormat="1" applyFont="1" applyFill="1" applyBorder="1" applyAlignment="1">
      <alignment horizontal="center"/>
    </xf>
    <xf numFmtId="164" fontId="5" fillId="3" borderId="29" xfId="1" applyNumberFormat="1" applyFont="1" applyFill="1" applyBorder="1" applyAlignment="1">
      <alignment horizontal="right"/>
    </xf>
    <xf numFmtId="164" fontId="5" fillId="3" borderId="31" xfId="1" applyNumberFormat="1" applyFont="1" applyFill="1" applyBorder="1" applyAlignment="1">
      <alignment horizontal="right"/>
    </xf>
    <xf numFmtId="0" fontId="2" fillId="7" borderId="37" xfId="0" applyFont="1" applyFill="1" applyBorder="1" applyAlignment="1">
      <alignment horizontal="left"/>
    </xf>
    <xf numFmtId="0" fontId="0" fillId="7" borderId="38" xfId="0" applyFill="1" applyBorder="1"/>
    <xf numFmtId="0" fontId="0" fillId="7" borderId="46" xfId="0" applyFill="1" applyBorder="1"/>
    <xf numFmtId="164" fontId="11" fillId="7" borderId="34" xfId="1" applyNumberFormat="1" applyFont="1" applyFill="1" applyBorder="1" applyAlignment="1">
      <alignment horizontal="right"/>
    </xf>
    <xf numFmtId="164" fontId="11" fillId="7" borderId="38" xfId="1" applyNumberFormat="1" applyFont="1" applyFill="1" applyBorder="1" applyAlignment="1">
      <alignment horizontal="right"/>
    </xf>
    <xf numFmtId="164" fontId="11" fillId="7" borderId="46" xfId="1" applyNumberFormat="1" applyFont="1" applyFill="1" applyBorder="1" applyAlignment="1">
      <alignment horizontal="right"/>
    </xf>
    <xf numFmtId="164" fontId="11" fillId="7" borderId="34" xfId="1" applyNumberFormat="1" applyFont="1" applyFill="1" applyBorder="1" applyAlignment="1">
      <alignment horizontal="center"/>
    </xf>
    <xf numFmtId="164" fontId="11" fillId="7" borderId="39" xfId="1" applyNumberFormat="1" applyFont="1" applyFill="1" applyBorder="1" applyAlignment="1">
      <alignment horizontal="center"/>
    </xf>
    <xf numFmtId="0" fontId="8" fillId="5" borderId="29" xfId="0" applyFont="1" applyFill="1" applyBorder="1" applyAlignment="1">
      <alignment horizontal="center"/>
    </xf>
    <xf numFmtId="0" fontId="8" fillId="5" borderId="31" xfId="0" applyFont="1" applyFill="1" applyBorder="1" applyAlignment="1">
      <alignment horizontal="center"/>
    </xf>
    <xf numFmtId="164" fontId="5" fillId="3" borderId="34" xfId="1" applyNumberFormat="1" applyFont="1" applyFill="1" applyBorder="1" applyAlignment="1">
      <alignment horizontal="center"/>
    </xf>
    <xf numFmtId="164" fontId="5" fillId="3" borderId="38" xfId="1" applyNumberFormat="1" applyFont="1" applyFill="1" applyBorder="1" applyAlignment="1">
      <alignment horizontal="center"/>
    </xf>
    <xf numFmtId="164" fontId="5" fillId="3" borderId="39" xfId="1" applyNumberFormat="1"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6" borderId="3" xfId="0" applyFont="1" applyFill="1" applyBorder="1" applyAlignment="1">
      <alignment horizontal="center"/>
    </xf>
    <xf numFmtId="0" fontId="2" fillId="5" borderId="37" xfId="0" applyFont="1" applyFill="1" applyBorder="1" applyAlignment="1">
      <alignment horizontal="left"/>
    </xf>
    <xf numFmtId="0" fontId="8" fillId="5" borderId="38" xfId="0" applyFont="1" applyFill="1" applyBorder="1" applyAlignment="1">
      <alignment horizontal="center"/>
    </xf>
    <xf numFmtId="0" fontId="8" fillId="5" borderId="46" xfId="0" applyFont="1" applyFill="1" applyBorder="1" applyAlignment="1">
      <alignment horizontal="center"/>
    </xf>
    <xf numFmtId="0" fontId="2" fillId="3" borderId="0" xfId="0" applyFont="1" applyFill="1" applyAlignment="1">
      <alignment horizontal="left"/>
    </xf>
    <xf numFmtId="0" fontId="8" fillId="3" borderId="0" xfId="0" applyFont="1" applyFill="1" applyAlignment="1">
      <alignment horizontal="center"/>
    </xf>
    <xf numFmtId="0" fontId="12" fillId="3" borderId="0" xfId="0" applyFont="1" applyFill="1" applyAlignment="1">
      <alignment horizontal="right"/>
    </xf>
    <xf numFmtId="10" fontId="7" fillId="3" borderId="22" xfId="0" applyNumberFormat="1" applyFont="1" applyFill="1" applyBorder="1" applyAlignment="1">
      <alignment horizontal="center" vertical="center"/>
    </xf>
    <xf numFmtId="10" fontId="7" fillId="3" borderId="29" xfId="0" applyNumberFormat="1" applyFont="1" applyFill="1" applyBorder="1" applyAlignment="1">
      <alignment horizontal="center" vertical="center"/>
    </xf>
    <xf numFmtId="10" fontId="7" fillId="3" borderId="36" xfId="0" applyNumberFormat="1" applyFont="1" applyFill="1" applyBorder="1" applyAlignment="1">
      <alignment horizontal="center" vertical="center"/>
    </xf>
    <xf numFmtId="0" fontId="2" fillId="5" borderId="22" xfId="0" applyFont="1" applyFill="1" applyBorder="1" applyAlignment="1">
      <alignment horizontal="center"/>
    </xf>
    <xf numFmtId="0" fontId="2" fillId="5" borderId="31" xfId="0" applyFont="1" applyFill="1" applyBorder="1" applyAlignment="1">
      <alignment horizontal="center"/>
    </xf>
    <xf numFmtId="0" fontId="2" fillId="5" borderId="29" xfId="0" applyFont="1" applyFill="1" applyBorder="1" applyAlignment="1">
      <alignment horizontal="center"/>
    </xf>
    <xf numFmtId="0" fontId="2" fillId="5" borderId="36" xfId="0" applyFont="1" applyFill="1" applyBorder="1" applyAlignment="1">
      <alignment horizontal="center"/>
    </xf>
    <xf numFmtId="14" fontId="5" fillId="3" borderId="22" xfId="0" applyNumberFormat="1" applyFont="1" applyFill="1" applyBorder="1" applyAlignment="1">
      <alignment horizontal="center"/>
    </xf>
    <xf numFmtId="14" fontId="5" fillId="3" borderId="31" xfId="0" applyNumberFormat="1" applyFont="1" applyFill="1" applyBorder="1" applyAlignment="1">
      <alignment horizontal="center"/>
    </xf>
    <xf numFmtId="10" fontId="5" fillId="3" borderId="22" xfId="0" applyNumberFormat="1" applyFont="1" applyFill="1" applyBorder="1" applyAlignment="1">
      <alignment horizontal="center"/>
    </xf>
    <xf numFmtId="10" fontId="5" fillId="3" borderId="31" xfId="0" applyNumberFormat="1" applyFont="1" applyFill="1" applyBorder="1" applyAlignment="1">
      <alignment horizontal="center"/>
    </xf>
    <xf numFmtId="167" fontId="7" fillId="3" borderId="29" xfId="0" applyNumberFormat="1" applyFont="1" applyFill="1" applyBorder="1" applyAlignment="1">
      <alignment horizontal="center"/>
    </xf>
    <xf numFmtId="167" fontId="7" fillId="3" borderId="31" xfId="0" applyNumberFormat="1" applyFont="1" applyFill="1" applyBorder="1" applyAlignment="1">
      <alignment horizontal="center"/>
    </xf>
    <xf numFmtId="167" fontId="7" fillId="3" borderId="22" xfId="0" applyNumberFormat="1" applyFont="1" applyFill="1" applyBorder="1" applyAlignment="1">
      <alignment horizontal="center"/>
    </xf>
    <xf numFmtId="167" fontId="7" fillId="3" borderId="36" xfId="0" applyNumberFormat="1" applyFont="1" applyFill="1" applyBorder="1" applyAlignment="1">
      <alignment horizontal="center"/>
    </xf>
    <xf numFmtId="0" fontId="2" fillId="5" borderId="25" xfId="0" applyFont="1" applyFill="1" applyBorder="1"/>
    <xf numFmtId="0" fontId="2" fillId="8" borderId="28" xfId="0" applyFont="1" applyFill="1" applyBorder="1" applyAlignment="1">
      <alignment horizontal="center"/>
    </xf>
    <xf numFmtId="0" fontId="2" fillId="8" borderId="26" xfId="0" applyFont="1" applyFill="1" applyBorder="1" applyAlignment="1">
      <alignment horizontal="center"/>
    </xf>
    <xf numFmtId="0" fontId="6" fillId="8" borderId="28" xfId="0" applyFont="1" applyFill="1" applyBorder="1" applyAlignment="1">
      <alignment horizontal="center"/>
    </xf>
    <xf numFmtId="0" fontId="6" fillId="8" borderId="26" xfId="0" applyFont="1" applyFill="1" applyBorder="1" applyAlignment="1">
      <alignment horizontal="center"/>
    </xf>
    <xf numFmtId="167" fontId="7" fillId="8" borderId="0" xfId="1" applyNumberFormat="1" applyFont="1" applyFill="1" applyBorder="1" applyAlignment="1">
      <alignment horizontal="center"/>
    </xf>
    <xf numFmtId="167" fontId="7" fillId="8" borderId="25" xfId="0" applyNumberFormat="1" applyFont="1" applyFill="1" applyBorder="1" applyAlignment="1">
      <alignment horizontal="center"/>
    </xf>
    <xf numFmtId="167" fontId="7" fillId="8" borderId="41" xfId="0" applyNumberFormat="1" applyFont="1" applyFill="1" applyBorder="1" applyAlignment="1">
      <alignment horizontal="center"/>
    </xf>
    <xf numFmtId="16" fontId="5" fillId="3" borderId="42" xfId="0" applyNumberFormat="1" applyFont="1" applyFill="1" applyBorder="1" applyAlignment="1">
      <alignment horizontal="center"/>
    </xf>
    <xf numFmtId="0" fontId="5" fillId="3" borderId="27" xfId="0" applyFont="1" applyFill="1" applyBorder="1" applyAlignment="1">
      <alignment horizontal="center"/>
    </xf>
    <xf numFmtId="10" fontId="7" fillId="3" borderId="42" xfId="0" applyNumberFormat="1" applyFont="1" applyFill="1" applyBorder="1" applyAlignment="1">
      <alignment horizontal="center"/>
    </xf>
    <xf numFmtId="0" fontId="7" fillId="3" borderId="27" xfId="0" applyFont="1" applyFill="1" applyBorder="1" applyAlignment="1">
      <alignment horizontal="center"/>
    </xf>
    <xf numFmtId="167" fontId="7" fillId="3" borderId="0" xfId="1" applyNumberFormat="1" applyFont="1" applyFill="1" applyBorder="1" applyAlignment="1">
      <alignment horizontal="center"/>
    </xf>
    <xf numFmtId="167" fontId="7" fillId="3" borderId="0" xfId="0" applyNumberFormat="1" applyFont="1" applyFill="1" applyAlignment="1">
      <alignment horizontal="center"/>
    </xf>
    <xf numFmtId="167" fontId="7" fillId="3" borderId="5" xfId="0" applyNumberFormat="1" applyFont="1" applyFill="1" applyBorder="1" applyAlignment="1">
      <alignment horizontal="center"/>
    </xf>
    <xf numFmtId="167" fontId="7" fillId="3" borderId="0" xfId="0" applyNumberFormat="1" applyFont="1" applyFill="1"/>
    <xf numFmtId="167" fontId="7" fillId="3" borderId="5" xfId="0" applyNumberFormat="1" applyFont="1" applyFill="1" applyBorder="1"/>
    <xf numFmtId="0" fontId="5" fillId="3" borderId="32" xfId="0" applyFont="1" applyFill="1" applyBorder="1" applyAlignment="1">
      <alignment horizontal="center"/>
    </xf>
    <xf numFmtId="0" fontId="5" fillId="3" borderId="20" xfId="0" applyFont="1" applyFill="1" applyBorder="1" applyAlignment="1">
      <alignment horizontal="center"/>
    </xf>
    <xf numFmtId="0" fontId="7" fillId="3" borderId="32" xfId="0" applyFont="1" applyFill="1" applyBorder="1" applyAlignment="1">
      <alignment horizontal="center"/>
    </xf>
    <xf numFmtId="0" fontId="7" fillId="3" borderId="20" xfId="0" applyFont="1" applyFill="1" applyBorder="1" applyAlignment="1">
      <alignment horizontal="center"/>
    </xf>
    <xf numFmtId="167" fontId="7" fillId="3" borderId="19" xfId="1" applyNumberFormat="1" applyFont="1" applyFill="1" applyBorder="1" applyAlignment="1">
      <alignment horizontal="center"/>
    </xf>
    <xf numFmtId="0" fontId="6" fillId="5" borderId="25" xfId="0" applyFont="1" applyFill="1" applyBorder="1"/>
    <xf numFmtId="0" fontId="6" fillId="5" borderId="26" xfId="0" applyFont="1" applyFill="1" applyBorder="1"/>
    <xf numFmtId="10" fontId="0" fillId="2" borderId="0" xfId="0" applyNumberFormat="1" applyFill="1"/>
    <xf numFmtId="0" fontId="8" fillId="5" borderId="7" xfId="0" applyFont="1" applyFill="1" applyBorder="1" applyAlignment="1">
      <alignment horizontal="center"/>
    </xf>
    <xf numFmtId="0" fontId="8" fillId="5" borderId="45" xfId="0" applyFont="1" applyFill="1" applyBorder="1" applyAlignment="1">
      <alignment horizontal="center"/>
    </xf>
    <xf numFmtId="0" fontId="0" fillId="3" borderId="6" xfId="0" applyFill="1" applyBorder="1"/>
    <xf numFmtId="0" fontId="0" fillId="3" borderId="7" xfId="0" applyFill="1" applyBorder="1"/>
    <xf numFmtId="0" fontId="2" fillId="2" borderId="0" xfId="0" applyFont="1" applyFill="1"/>
    <xf numFmtId="167" fontId="0" fillId="2" borderId="0" xfId="0" applyNumberFormat="1" applyFill="1"/>
    <xf numFmtId="43" fontId="0" fillId="2" borderId="0" xfId="0" applyNumberFormat="1" applyFill="1"/>
    <xf numFmtId="16" fontId="0" fillId="2" borderId="0" xfId="0" applyNumberFormat="1" applyFill="1"/>
    <xf numFmtId="0" fontId="2" fillId="5" borderId="4" xfId="0" applyFont="1" applyFill="1" applyBorder="1" applyAlignment="1">
      <alignment horizontal="left" vertical="center"/>
    </xf>
    <xf numFmtId="0" fontId="2" fillId="5" borderId="25" xfId="0" applyFont="1" applyFill="1" applyBorder="1" applyAlignment="1">
      <alignment horizontal="left" vertical="center"/>
    </xf>
    <xf numFmtId="14" fontId="5" fillId="0" borderId="21" xfId="0" applyNumberFormat="1" applyFont="1" applyBorder="1" applyAlignment="1">
      <alignment horizontal="right" wrapText="1"/>
    </xf>
    <xf numFmtId="14" fontId="5" fillId="0" borderId="23" xfId="0" applyNumberFormat="1" applyFont="1" applyBorder="1" applyAlignment="1">
      <alignment horizontal="right" wrapText="1"/>
    </xf>
    <xf numFmtId="165" fontId="5" fillId="3" borderId="21" xfId="0" applyNumberFormat="1" applyFont="1" applyFill="1" applyBorder="1" applyAlignment="1">
      <alignment horizontal="right" wrapText="1"/>
    </xf>
    <xf numFmtId="165" fontId="5" fillId="3" borderId="23" xfId="0" applyNumberFormat="1" applyFont="1" applyFill="1" applyBorder="1" applyAlignment="1">
      <alignment horizontal="right" wrapText="1"/>
    </xf>
    <xf numFmtId="14" fontId="5" fillId="3" borderId="29" xfId="0" applyNumberFormat="1" applyFont="1" applyFill="1" applyBorder="1" applyAlignment="1">
      <alignment horizontal="right" wrapText="1"/>
    </xf>
    <xf numFmtId="14" fontId="5" fillId="3" borderId="36" xfId="0" applyNumberFormat="1" applyFont="1" applyFill="1" applyBorder="1" applyAlignment="1">
      <alignment horizontal="right" wrapText="1"/>
    </xf>
    <xf numFmtId="0" fontId="0" fillId="3" borderId="21" xfId="0" applyFill="1" applyBorder="1" applyAlignment="1">
      <alignment horizontal="right"/>
    </xf>
    <xf numFmtId="0" fontId="0" fillId="3" borderId="23" xfId="0" applyFill="1" applyBorder="1" applyAlignment="1">
      <alignment horizontal="right"/>
    </xf>
    <xf numFmtId="0" fontId="2" fillId="5" borderId="38" xfId="0" applyFont="1" applyFill="1" applyBorder="1"/>
    <xf numFmtId="0" fontId="0" fillId="5" borderId="25" xfId="0" applyFill="1" applyBorder="1" applyAlignment="1">
      <alignment horizontal="center"/>
    </xf>
    <xf numFmtId="0" fontId="0" fillId="5" borderId="26" xfId="0" applyFill="1" applyBorder="1" applyAlignment="1">
      <alignment horizontal="center"/>
    </xf>
    <xf numFmtId="164" fontId="7" fillId="0" borderId="25" xfId="1" applyNumberFormat="1" applyFont="1" applyFill="1" applyBorder="1" applyAlignment="1">
      <alignment horizontal="right"/>
    </xf>
    <xf numFmtId="164" fontId="7" fillId="0" borderId="41" xfId="1" applyNumberFormat="1" applyFont="1" applyFill="1" applyBorder="1" applyAlignment="1">
      <alignment horizontal="right"/>
    </xf>
    <xf numFmtId="0" fontId="0" fillId="5" borderId="0" xfId="0" applyFill="1" applyAlignment="1">
      <alignment horizontal="center"/>
    </xf>
    <xf numFmtId="164" fontId="7" fillId="3" borderId="28" xfId="1" applyNumberFormat="1" applyFont="1" applyFill="1" applyBorder="1" applyAlignment="1">
      <alignment horizontal="right"/>
    </xf>
    <xf numFmtId="164" fontId="7" fillId="3" borderId="25" xfId="1" applyNumberFormat="1" applyFont="1" applyFill="1" applyBorder="1" applyAlignment="1">
      <alignment horizontal="right"/>
    </xf>
    <xf numFmtId="164" fontId="7" fillId="3" borderId="41" xfId="1" applyNumberFormat="1" applyFont="1" applyFill="1" applyBorder="1" applyAlignment="1">
      <alignment horizontal="right"/>
    </xf>
    <xf numFmtId="0" fontId="0" fillId="5" borderId="4" xfId="0" applyFill="1" applyBorder="1" applyAlignment="1">
      <alignment horizontal="left"/>
    </xf>
    <xf numFmtId="164" fontId="6" fillId="3" borderId="5" xfId="1" applyNumberFormat="1" applyFont="1" applyFill="1" applyBorder="1" applyAlignment="1">
      <alignment horizontal="center"/>
    </xf>
    <xf numFmtId="164" fontId="6" fillId="3" borderId="43" xfId="1" applyNumberFormat="1" applyFont="1" applyFill="1" applyBorder="1" applyAlignment="1">
      <alignment horizontal="center"/>
    </xf>
    <xf numFmtId="164" fontId="7" fillId="3" borderId="32" xfId="1" applyNumberFormat="1" applyFont="1" applyFill="1" applyBorder="1" applyAlignment="1">
      <alignment horizontal="right"/>
    </xf>
    <xf numFmtId="164" fontId="7" fillId="3" borderId="19" xfId="1" applyNumberFormat="1" applyFont="1" applyFill="1" applyBorder="1" applyAlignment="1">
      <alignment horizontal="right"/>
    </xf>
    <xf numFmtId="0" fontId="0" fillId="5" borderId="27" xfId="0" applyFill="1" applyBorder="1" applyAlignment="1">
      <alignment horizontal="center"/>
    </xf>
    <xf numFmtId="164" fontId="0" fillId="3" borderId="5" xfId="1" applyNumberFormat="1" applyFont="1" applyFill="1" applyBorder="1" applyAlignment="1">
      <alignment horizontal="center"/>
    </xf>
    <xf numFmtId="0" fontId="0" fillId="5" borderId="19" xfId="0" applyFill="1" applyBorder="1" applyAlignment="1">
      <alignment horizontal="center"/>
    </xf>
    <xf numFmtId="0" fontId="0" fillId="5" borderId="20" xfId="0" applyFill="1" applyBorder="1" applyAlignment="1">
      <alignment horizontal="center"/>
    </xf>
    <xf numFmtId="164" fontId="7" fillId="3" borderId="22" xfId="1" applyNumberFormat="1" applyFont="1" applyFill="1" applyBorder="1" applyAlignment="1">
      <alignment horizontal="right"/>
    </xf>
    <xf numFmtId="164" fontId="7" fillId="3" borderId="29" xfId="1" applyNumberFormat="1" applyFont="1" applyFill="1" applyBorder="1" applyAlignment="1">
      <alignment horizontal="right"/>
    </xf>
    <xf numFmtId="164" fontId="7" fillId="3" borderId="36" xfId="1" applyNumberFormat="1" applyFont="1" applyFill="1" applyBorder="1" applyAlignment="1">
      <alignment horizontal="right"/>
    </xf>
    <xf numFmtId="9" fontId="0" fillId="2" borderId="0" xfId="2" applyFont="1" applyFill="1"/>
    <xf numFmtId="0" fontId="0" fillId="5" borderId="29" xfId="0" applyFill="1" applyBorder="1" applyAlignment="1">
      <alignment horizontal="center"/>
    </xf>
    <xf numFmtId="0" fontId="0" fillId="5" borderId="31" xfId="0" applyFill="1" applyBorder="1" applyAlignment="1">
      <alignment horizontal="center"/>
    </xf>
    <xf numFmtId="164" fontId="2" fillId="2" borderId="0" xfId="0" applyNumberFormat="1" applyFont="1" applyFill="1"/>
    <xf numFmtId="164" fontId="7" fillId="3" borderId="5" xfId="1" applyNumberFormat="1" applyFont="1" applyFill="1" applyBorder="1" applyAlignment="1">
      <alignment horizontal="right"/>
    </xf>
    <xf numFmtId="0" fontId="0" fillId="5" borderId="18" xfId="0" applyFill="1" applyBorder="1" applyAlignment="1">
      <alignment horizontal="left"/>
    </xf>
    <xf numFmtId="164" fontId="7" fillId="3" borderId="43" xfId="1" applyNumberFormat="1" applyFont="1" applyFill="1" applyBorder="1" applyAlignment="1">
      <alignment horizontal="right"/>
    </xf>
    <xf numFmtId="0" fontId="2" fillId="7" borderId="18" xfId="0" applyFont="1" applyFill="1" applyBorder="1" applyAlignment="1">
      <alignment horizontal="center"/>
    </xf>
    <xf numFmtId="0" fontId="2" fillId="7" borderId="19" xfId="0" applyFont="1" applyFill="1" applyBorder="1" applyAlignment="1">
      <alignment horizontal="center"/>
    </xf>
    <xf numFmtId="0" fontId="2" fillId="7" borderId="43" xfId="0" applyFont="1" applyFill="1" applyBorder="1" applyAlignment="1">
      <alignment horizontal="center"/>
    </xf>
    <xf numFmtId="0" fontId="2" fillId="5" borderId="38" xfId="0" applyFont="1" applyFill="1" applyBorder="1" applyAlignment="1">
      <alignment horizontal="center"/>
    </xf>
    <xf numFmtId="0" fontId="2" fillId="5" borderId="46" xfId="0" applyFont="1" applyFill="1" applyBorder="1" applyAlignment="1">
      <alignment horizontal="center"/>
    </xf>
    <xf numFmtId="164" fontId="7" fillId="3" borderId="38" xfId="1" applyNumberFormat="1" applyFont="1" applyFill="1" applyBorder="1" applyAlignment="1">
      <alignment horizontal="right"/>
    </xf>
    <xf numFmtId="164" fontId="7" fillId="3" borderId="39" xfId="1" applyNumberFormat="1" applyFont="1" applyFill="1" applyBorder="1" applyAlignment="1">
      <alignment horizontal="right"/>
    </xf>
    <xf numFmtId="0" fontId="0" fillId="3" borderId="0" xfId="0" applyFill="1" applyAlignment="1">
      <alignment horizontal="center"/>
    </xf>
    <xf numFmtId="0" fontId="8" fillId="5" borderId="30" xfId="0" applyFont="1" applyFill="1" applyBorder="1" applyAlignment="1">
      <alignment horizontal="left"/>
    </xf>
    <xf numFmtId="0" fontId="2" fillId="5" borderId="29" xfId="0" applyFont="1" applyFill="1" applyBorder="1" applyAlignment="1">
      <alignment horizontal="center"/>
    </xf>
    <xf numFmtId="0" fontId="2" fillId="5" borderId="25" xfId="0" applyFont="1" applyFill="1" applyBorder="1" applyAlignment="1">
      <alignment horizontal="center"/>
    </xf>
    <xf numFmtId="164" fontId="7" fillId="3" borderId="26" xfId="1" applyNumberFormat="1" applyFont="1" applyFill="1" applyBorder="1" applyAlignment="1">
      <alignment horizontal="right"/>
    </xf>
    <xf numFmtId="0" fontId="2" fillId="5" borderId="0" xfId="0" applyFont="1" applyFill="1" applyAlignment="1">
      <alignment horizontal="center"/>
    </xf>
    <xf numFmtId="164" fontId="6" fillId="3" borderId="27" xfId="1" applyNumberFormat="1" applyFont="1" applyFill="1" applyBorder="1" applyAlignment="1">
      <alignment horizontal="center"/>
    </xf>
    <xf numFmtId="0" fontId="14" fillId="5" borderId="4" xfId="0" applyFont="1" applyFill="1" applyBorder="1" applyAlignment="1">
      <alignment horizontal="left" indent="1"/>
    </xf>
    <xf numFmtId="0" fontId="14" fillId="5" borderId="18" xfId="0" applyFont="1" applyFill="1" applyBorder="1" applyAlignment="1">
      <alignment horizontal="left" indent="1"/>
    </xf>
    <xf numFmtId="0" fontId="2" fillId="5" borderId="19" xfId="0" applyFont="1" applyFill="1" applyBorder="1" applyAlignment="1">
      <alignment horizontal="center"/>
    </xf>
    <xf numFmtId="164" fontId="6" fillId="3" borderId="20" xfId="1" applyNumberFormat="1" applyFont="1" applyFill="1" applyBorder="1" applyAlignment="1">
      <alignment horizontal="center"/>
    </xf>
    <xf numFmtId="0" fontId="15" fillId="5" borderId="24" xfId="0" applyFont="1" applyFill="1" applyBorder="1" applyAlignment="1">
      <alignment horizontal="left"/>
    </xf>
    <xf numFmtId="0" fontId="2" fillId="5" borderId="7" xfId="0" applyFont="1" applyFill="1" applyBorder="1" applyAlignment="1">
      <alignment horizontal="center"/>
    </xf>
    <xf numFmtId="164" fontId="7" fillId="3" borderId="44" xfId="1" applyNumberFormat="1" applyFont="1" applyFill="1" applyBorder="1" applyAlignment="1">
      <alignment horizontal="right"/>
    </xf>
    <xf numFmtId="164" fontId="7" fillId="3" borderId="7" xfId="1" applyNumberFormat="1" applyFont="1" applyFill="1" applyBorder="1" applyAlignment="1">
      <alignment horizontal="right"/>
    </xf>
    <xf numFmtId="164" fontId="7" fillId="3" borderId="45" xfId="1" applyNumberFormat="1" applyFont="1" applyFill="1" applyBorder="1" applyAlignment="1">
      <alignment horizontal="right"/>
    </xf>
    <xf numFmtId="164" fontId="7" fillId="3" borderId="8" xfId="1" applyNumberFormat="1" applyFont="1" applyFill="1" applyBorder="1" applyAlignment="1">
      <alignment horizontal="right"/>
    </xf>
    <xf numFmtId="0" fontId="0" fillId="5" borderId="30" xfId="0" applyFill="1" applyBorder="1" applyAlignment="1">
      <alignment horizontal="center"/>
    </xf>
    <xf numFmtId="9" fontId="6" fillId="3" borderId="22" xfId="0" applyNumberFormat="1" applyFont="1" applyFill="1" applyBorder="1" applyAlignment="1">
      <alignment horizontal="center"/>
    </xf>
    <xf numFmtId="0" fontId="6" fillId="3" borderId="29" xfId="0" applyFont="1" applyFill="1" applyBorder="1" applyAlignment="1">
      <alignment horizontal="center"/>
    </xf>
    <xf numFmtId="0" fontId="6" fillId="3" borderId="31" xfId="0" applyFont="1" applyFill="1" applyBorder="1" applyAlignment="1">
      <alignment horizontal="center"/>
    </xf>
    <xf numFmtId="10" fontId="7" fillId="3" borderId="22" xfId="2" applyNumberFormat="1" applyFont="1" applyFill="1" applyBorder="1" applyAlignment="1">
      <alignment horizontal="center"/>
    </xf>
    <xf numFmtId="10" fontId="7" fillId="3" borderId="29" xfId="2" applyNumberFormat="1" applyFont="1" applyFill="1" applyBorder="1" applyAlignment="1">
      <alignment horizontal="center"/>
    </xf>
    <xf numFmtId="10" fontId="7" fillId="3" borderId="31" xfId="2" applyNumberFormat="1" applyFont="1" applyFill="1" applyBorder="1" applyAlignment="1">
      <alignment horizontal="center"/>
    </xf>
    <xf numFmtId="10" fontId="7" fillId="3" borderId="22" xfId="0" applyNumberFormat="1" applyFont="1" applyFill="1" applyBorder="1" applyAlignment="1">
      <alignment horizontal="center"/>
    </xf>
    <xf numFmtId="0" fontId="7" fillId="3" borderId="29" xfId="0" applyFont="1" applyFill="1" applyBorder="1" applyAlignment="1">
      <alignment horizontal="center"/>
    </xf>
    <xf numFmtId="0" fontId="7" fillId="3" borderId="36" xfId="0" applyFont="1" applyFill="1" applyBorder="1" applyAlignment="1">
      <alignment horizontal="center"/>
    </xf>
    <xf numFmtId="0" fontId="6" fillId="3" borderId="22" xfId="0" applyFont="1" applyFill="1" applyBorder="1" applyAlignment="1">
      <alignment horizontal="center"/>
    </xf>
    <xf numFmtId="10" fontId="7" fillId="3" borderId="29" xfId="0" applyNumberFormat="1" applyFont="1" applyFill="1" applyBorder="1" applyAlignment="1">
      <alignment horizontal="center"/>
    </xf>
    <xf numFmtId="10" fontId="7" fillId="3" borderId="36" xfId="0" applyNumberFormat="1" applyFont="1" applyFill="1" applyBorder="1" applyAlignment="1">
      <alignment horizontal="center"/>
    </xf>
    <xf numFmtId="2" fontId="7" fillId="3" borderId="22" xfId="0" applyNumberFormat="1" applyFont="1" applyFill="1" applyBorder="1" applyAlignment="1">
      <alignment horizontal="center"/>
    </xf>
    <xf numFmtId="2" fontId="7" fillId="3" borderId="29" xfId="0" applyNumberFormat="1" applyFont="1" applyFill="1" applyBorder="1" applyAlignment="1">
      <alignment horizontal="center"/>
    </xf>
    <xf numFmtId="2" fontId="7" fillId="3" borderId="36" xfId="0" applyNumberFormat="1" applyFont="1" applyFill="1" applyBorder="1" applyAlignment="1">
      <alignment horizontal="center"/>
    </xf>
    <xf numFmtId="0" fontId="7" fillId="3" borderId="28" xfId="0" applyFont="1" applyFill="1" applyBorder="1" applyAlignment="1">
      <alignment horizontal="center"/>
    </xf>
    <xf numFmtId="0" fontId="7" fillId="3" borderId="25" xfId="0" applyFont="1" applyFill="1" applyBorder="1" applyAlignment="1">
      <alignment horizontal="center"/>
    </xf>
    <xf numFmtId="0" fontId="7" fillId="3" borderId="26" xfId="0" applyFont="1" applyFill="1" applyBorder="1" applyAlignment="1">
      <alignment horizontal="center"/>
    </xf>
    <xf numFmtId="10" fontId="7" fillId="3" borderId="28" xfId="2" applyNumberFormat="1" applyFont="1" applyFill="1" applyBorder="1" applyAlignment="1">
      <alignment horizontal="center"/>
    </xf>
    <xf numFmtId="10" fontId="7" fillId="3" borderId="25" xfId="2" applyNumberFormat="1" applyFont="1" applyFill="1" applyBorder="1" applyAlignment="1">
      <alignment horizontal="center"/>
    </xf>
    <xf numFmtId="10" fontId="7" fillId="3" borderId="26" xfId="2" applyNumberFormat="1" applyFont="1" applyFill="1" applyBorder="1" applyAlignment="1">
      <alignment horizontal="center"/>
    </xf>
    <xf numFmtId="0" fontId="2" fillId="5" borderId="31" xfId="0" applyFont="1" applyFill="1" applyBorder="1" applyAlignment="1">
      <alignment horizontal="center"/>
    </xf>
    <xf numFmtId="9" fontId="7" fillId="3" borderId="22" xfId="2" applyFont="1" applyFill="1" applyBorder="1" applyAlignment="1">
      <alignment horizontal="center"/>
    </xf>
    <xf numFmtId="9" fontId="7" fillId="3" borderId="29" xfId="2" applyFont="1" applyFill="1" applyBorder="1" applyAlignment="1">
      <alignment horizontal="center"/>
    </xf>
    <xf numFmtId="9" fontId="7" fillId="3" borderId="31" xfId="2" applyFont="1" applyFill="1" applyBorder="1" applyAlignment="1">
      <alignment horizontal="center"/>
    </xf>
    <xf numFmtId="10" fontId="7" fillId="3" borderId="36" xfId="2" applyNumberFormat="1" applyFont="1" applyFill="1" applyBorder="1" applyAlignment="1">
      <alignment horizontal="center"/>
    </xf>
    <xf numFmtId="9" fontId="7" fillId="3" borderId="34" xfId="2" applyFont="1" applyFill="1" applyBorder="1" applyAlignment="1">
      <alignment horizontal="center"/>
    </xf>
    <xf numFmtId="9" fontId="7" fillId="3" borderId="38" xfId="2" applyFont="1" applyFill="1" applyBorder="1" applyAlignment="1">
      <alignment horizontal="center"/>
    </xf>
    <xf numFmtId="9" fontId="7" fillId="3" borderId="46" xfId="2" applyFont="1" applyFill="1" applyBorder="1" applyAlignment="1">
      <alignment horizontal="center"/>
    </xf>
    <xf numFmtId="10" fontId="7" fillId="3" borderId="34" xfId="2" applyNumberFormat="1" applyFont="1" applyFill="1" applyBorder="1" applyAlignment="1">
      <alignment horizontal="center"/>
    </xf>
    <xf numFmtId="10" fontId="7" fillId="3" borderId="38" xfId="2" applyNumberFormat="1" applyFont="1" applyFill="1" applyBorder="1" applyAlignment="1">
      <alignment horizontal="center"/>
    </xf>
    <xf numFmtId="10" fontId="7" fillId="3" borderId="46" xfId="2" applyNumberFormat="1" applyFont="1" applyFill="1" applyBorder="1" applyAlignment="1">
      <alignment horizontal="center"/>
    </xf>
    <xf numFmtId="10" fontId="7" fillId="3" borderId="39" xfId="2" applyNumberFormat="1" applyFont="1" applyFill="1" applyBorder="1" applyAlignment="1">
      <alignment horizontal="center"/>
    </xf>
    <xf numFmtId="0" fontId="2" fillId="5" borderId="22" xfId="0" applyFont="1" applyFill="1" applyBorder="1" applyAlignment="1">
      <alignment horizontal="left"/>
    </xf>
    <xf numFmtId="0" fontId="0" fillId="5" borderId="42" xfId="0" applyFill="1" applyBorder="1" applyAlignment="1">
      <alignment horizontal="left"/>
    </xf>
    <xf numFmtId="164" fontId="0" fillId="3" borderId="42" xfId="1" applyNumberFormat="1" applyFont="1" applyFill="1" applyBorder="1" applyAlignment="1">
      <alignment horizontal="center"/>
    </xf>
    <xf numFmtId="164" fontId="0" fillId="3" borderId="27" xfId="1" applyNumberFormat="1" applyFont="1" applyFill="1" applyBorder="1" applyAlignment="1">
      <alignment horizontal="center"/>
    </xf>
    <xf numFmtId="9" fontId="0" fillId="3" borderId="42" xfId="2" applyFont="1" applyFill="1" applyBorder="1" applyAlignment="1">
      <alignment horizontal="center"/>
    </xf>
    <xf numFmtId="9" fontId="0" fillId="3" borderId="27" xfId="2" applyFont="1" applyFill="1" applyBorder="1" applyAlignment="1">
      <alignment horizontal="center"/>
    </xf>
    <xf numFmtId="168" fontId="0" fillId="2" borderId="0" xfId="1" applyNumberFormat="1" applyFont="1" applyFill="1"/>
    <xf numFmtId="164" fontId="0" fillId="3" borderId="32" xfId="1" applyNumberFormat="1" applyFont="1" applyFill="1" applyBorder="1" applyAlignment="1">
      <alignment horizontal="center"/>
    </xf>
    <xf numFmtId="164" fontId="0" fillId="3" borderId="20" xfId="1" applyNumberFormat="1" applyFont="1" applyFill="1" applyBorder="1" applyAlignment="1">
      <alignment horizontal="center"/>
    </xf>
    <xf numFmtId="164" fontId="2" fillId="3" borderId="32" xfId="0" applyNumberFormat="1" applyFont="1" applyFill="1" applyBorder="1" applyAlignment="1">
      <alignment horizontal="center"/>
    </xf>
    <xf numFmtId="0" fontId="2" fillId="3" borderId="20" xfId="0" applyFont="1" applyFill="1" applyBorder="1" applyAlignment="1">
      <alignment horizontal="center"/>
    </xf>
    <xf numFmtId="9" fontId="2" fillId="3" borderId="22" xfId="2" applyFont="1" applyFill="1" applyBorder="1" applyAlignment="1">
      <alignment horizontal="center"/>
    </xf>
    <xf numFmtId="9" fontId="2" fillId="3" borderId="31" xfId="2" applyFont="1" applyFill="1" applyBorder="1" applyAlignment="1">
      <alignment horizontal="center"/>
    </xf>
    <xf numFmtId="164" fontId="2" fillId="3" borderId="22" xfId="0" applyNumberFormat="1" applyFont="1" applyFill="1" applyBorder="1" applyAlignment="1">
      <alignment horizontal="center"/>
    </xf>
    <xf numFmtId="0" fontId="2" fillId="3" borderId="31" xfId="0" applyFont="1" applyFill="1" applyBorder="1" applyAlignment="1">
      <alignment horizontal="center"/>
    </xf>
    <xf numFmtId="9" fontId="2" fillId="3" borderId="22" xfId="0" applyNumberFormat="1" applyFont="1" applyFill="1" applyBorder="1" applyAlignment="1">
      <alignment horizontal="center"/>
    </xf>
    <xf numFmtId="9" fontId="0" fillId="3" borderId="28" xfId="2" applyFont="1" applyFill="1" applyBorder="1" applyAlignment="1">
      <alignment horizontal="center"/>
    </xf>
    <xf numFmtId="9" fontId="0" fillId="3" borderId="26" xfId="2" applyFont="1" applyFill="1" applyBorder="1" applyAlignment="1">
      <alignment horizontal="center"/>
    </xf>
    <xf numFmtId="9" fontId="0" fillId="3" borderId="32" xfId="2" applyFont="1" applyFill="1" applyBorder="1" applyAlignment="1">
      <alignment horizontal="center"/>
    </xf>
    <xf numFmtId="9" fontId="0" fillId="3" borderId="20" xfId="2" applyFont="1" applyFill="1" applyBorder="1" applyAlignment="1">
      <alignment horizontal="center"/>
    </xf>
    <xf numFmtId="9" fontId="2" fillId="3" borderId="31" xfId="0" applyNumberFormat="1" applyFont="1" applyFill="1" applyBorder="1" applyAlignment="1">
      <alignment horizontal="center"/>
    </xf>
    <xf numFmtId="164" fontId="2" fillId="3" borderId="22" xfId="1" applyNumberFormat="1" applyFont="1" applyFill="1" applyBorder="1" applyAlignment="1">
      <alignment horizontal="center"/>
    </xf>
    <xf numFmtId="164" fontId="2" fillId="3" borderId="31" xfId="1" applyNumberFormat="1" applyFont="1" applyFill="1" applyBorder="1" applyAlignment="1">
      <alignment horizontal="center"/>
    </xf>
    <xf numFmtId="0" fontId="2" fillId="5" borderId="25" xfId="0" applyFont="1" applyFill="1" applyBorder="1" applyAlignment="1">
      <alignment horizontal="center"/>
    </xf>
    <xf numFmtId="0" fontId="2" fillId="5" borderId="26" xfId="0" applyFont="1" applyFill="1" applyBorder="1" applyAlignment="1">
      <alignment horizontal="center"/>
    </xf>
    <xf numFmtId="9" fontId="0" fillId="3" borderId="0" xfId="2" applyFont="1" applyFill="1" applyBorder="1" applyAlignment="1">
      <alignment horizontal="center"/>
    </xf>
    <xf numFmtId="164" fontId="0" fillId="3" borderId="0" xfId="1" applyNumberFormat="1" applyFont="1" applyFill="1" applyBorder="1" applyAlignment="1">
      <alignment horizontal="center"/>
    </xf>
    <xf numFmtId="164" fontId="2" fillId="3" borderId="32" xfId="1" applyNumberFormat="1" applyFont="1" applyFill="1" applyBorder="1" applyAlignment="1">
      <alignment horizontal="center"/>
    </xf>
    <xf numFmtId="164" fontId="2" fillId="3" borderId="20" xfId="1" applyNumberFormat="1" applyFont="1" applyFill="1" applyBorder="1" applyAlignment="1">
      <alignment horizontal="center"/>
    </xf>
    <xf numFmtId="164" fontId="0" fillId="3" borderId="28" xfId="1" applyNumberFormat="1" applyFont="1" applyFill="1" applyBorder="1" applyAlignment="1">
      <alignment horizontal="center"/>
    </xf>
    <xf numFmtId="164" fontId="0" fillId="3" borderId="26" xfId="1" applyNumberFormat="1" applyFont="1" applyFill="1" applyBorder="1" applyAlignment="1">
      <alignment horizontal="center"/>
    </xf>
    <xf numFmtId="164" fontId="0" fillId="3" borderId="42" xfId="1" applyNumberFormat="1" applyFont="1" applyFill="1" applyBorder="1" applyAlignment="1">
      <alignment horizontal="right"/>
    </xf>
    <xf numFmtId="164" fontId="0" fillId="3" borderId="0" xfId="1" applyNumberFormat="1" applyFont="1" applyFill="1" applyBorder="1" applyAlignment="1">
      <alignment horizontal="right"/>
    </xf>
    <xf numFmtId="9" fontId="0" fillId="3" borderId="19" xfId="2" applyFont="1" applyFill="1" applyBorder="1" applyAlignment="1">
      <alignment horizontal="center"/>
    </xf>
    <xf numFmtId="164" fontId="2" fillId="3" borderId="22" xfId="1" applyNumberFormat="1" applyFont="1" applyFill="1" applyBorder="1" applyAlignment="1">
      <alignment horizontal="right"/>
    </xf>
    <xf numFmtId="164" fontId="2" fillId="3" borderId="31" xfId="1" applyNumberFormat="1" applyFont="1" applyFill="1" applyBorder="1" applyAlignment="1">
      <alignment horizontal="right"/>
    </xf>
    <xf numFmtId="9" fontId="2" fillId="3" borderId="32" xfId="2" applyFont="1" applyFill="1" applyBorder="1" applyAlignment="1">
      <alignment horizontal="center"/>
    </xf>
    <xf numFmtId="9" fontId="2" fillId="3" borderId="20" xfId="2" applyFont="1" applyFill="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tuhfltd.sharepoint.com/sites/Finance2/Shared%20Documents/Finance%20Reports/Reports%20for%202023/Urban%20Ubomi%201/Investor%20Reports/4.%20February%202023/Workings/Urban%20Ubomi%201%20-%20Investor%20Report%20January%202023%20Linked.xlsx" TargetMode="External"/><Relationship Id="rId1" Type="http://schemas.openxmlformats.org/officeDocument/2006/relationships/externalLinkPath" Target="Urban%20Ubomi%201%20-%20Investor%20Report%20January%202023%20Lin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min Report"/>
      <sheetName val="Servicer Report"/>
      <sheetName val="Aug 2022"/>
      <sheetName val="Sept 2022"/>
      <sheetName val="Oct 2022"/>
      <sheetName val="Nov 2022"/>
      <sheetName val="Dec 2022"/>
      <sheetName val="Jan 2023"/>
      <sheetName val="Loan Book Recon"/>
      <sheetName val="Collections Data"/>
      <sheetName val="Swap calc 2- Fixed Floating"/>
      <sheetName val="Swap calc- JIBAR PRIME"/>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persons/person.xml><?xml version="1.0" encoding="utf-8"?>
<personList xmlns="http://schemas.microsoft.com/office/spreadsheetml/2018/threadedcomments" xmlns:x="http://schemas.openxmlformats.org/spreadsheetml/2006/main">
  <person displayName="Gunning, Nicholas NCM" id="{43730C35-DE4D-48C1-BE0A-B74986E2E47F}"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43730C35-DE4D-48C1-BE0A-B74986E2E47F}" id="{8700178B-2509-4C0D-9325-41B8DDCD1AE8}">
    <text>1.141.13	Administrator Report Date means the fifteenth twelfth day after each Determination Date, or if any such day is not a Business Day, then the immediately succeeding day that is a Business Day;</text>
  </threadedComment>
  <threadedComment ref="C9" dT="2020-07-10T12:16:41.19" personId="{43730C35-DE4D-48C1-BE0A-B74986E2E47F}" id="{768FD04F-AA93-4E97-AAAA-E41C098FF24E}">
    <text>1.1021.100	Determination Date means the last Business Day of [December, March, June and September], save for the first Determination Date which will be the date specified in the APS;</text>
  </threadedComment>
  <threadedComment ref="C12" dT="2020-07-10T12:17:28.82" personId="{43730C35-DE4D-48C1-BE0A-B74986E2E47F}" id="{0E8BC850-7AAD-4ECA-BC84-BBC15C6C08C3}">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43730C35-DE4D-48C1-BE0A-B74986E2E47F}" id="{37AA4D91-CD59-4DE9-8FE5-052D09961173}">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43730C35-DE4D-48C1-BE0A-B74986E2E47F}" id="{56CDC6A0-1AC7-48E9-94A6-7C01111991D8}">
    <text>1.2201.211	Prepayments means principal repayments received under a Loan Agreement in excess of the minimum Instalments which a Borrower is obliged to pay;</text>
  </threadedComment>
  <threadedComment ref="C72" dT="2020-07-10T12:32:40.90" personId="{43730C35-DE4D-48C1-BE0A-B74986E2E47F}" id="{279359C7-2973-491F-BD1C-A4478E456D27}">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1" dT="2020-07-10T12:14:24.90" personId="{43730C35-DE4D-48C1-BE0A-B74986E2E47F}" id="{BF227B42-A329-4041-A823-539B16240F7A}">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99" dT="2020-07-03T14:38:14.35" personId="{43730C35-DE4D-48C1-BE0A-B74986E2E47F}" id="{6FEC890E-52CB-43AF-964B-FACD5DF06FC2}">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0" dT="2020-07-03T14:39:03.59" personId="{43730C35-DE4D-48C1-BE0A-B74986E2E47F}" id="{CBDE6B9A-489F-4070-8F8A-C8743A0A7DF0}">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4" dT="2020-07-03T14:39:59.73" personId="{43730C35-DE4D-48C1-BE0A-B74986E2E47F}" id="{FDD55EDF-78A7-4508-86B1-49734E1C62EE}">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5" dT="2020-07-03T14:40:20.29" personId="{43730C35-DE4D-48C1-BE0A-B74986E2E47F}" id="{8EF1682C-310A-4AD1-931C-AE477092D6E0}">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1" dT="2020-07-06T07:36:37.57" personId="{43730C35-DE4D-48C1-BE0A-B74986E2E47F}" id="{9DB3A166-4679-4B43-9F6D-781A48296C82}">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0" dT="2020-07-06T07:42:12.02" personId="{43730C35-DE4D-48C1-BE0A-B74986E2E47F}" id="{697D19F2-43DC-46A5-806E-A6C2CA499A59}">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2" dT="2020-07-06T07:42:23.74" personId="{43730C35-DE4D-48C1-BE0A-B74986E2E47F}" id="{86000213-4BD4-428E-8032-16D394402BF8}">
    <text>1.701.69	Class C Principal Lock-Out shall occur on any Interest Payment Date on which, if prior to the allocation of the Redemption Amount in accordance with the Priority of Payments, there are Class B Notes outstanding;</text>
  </threadedComment>
  <threadedComment ref="C136" dT="2020-07-01T09:26:37.19" personId="{43730C35-DE4D-48C1-BE0A-B74986E2E47F}" id="{1AB77008-0662-4FBC-A47B-64237C5EA648}">
    <text>1.1	first, to pay or provide for the Issuer’s liability or potential liability for Tax;</text>
  </threadedComment>
  <threadedComment ref="C137" dT="2020-07-01T09:26:57.34" personId="{43730C35-DE4D-48C1-BE0A-B74986E2E47F}" id="{85C85F21-E9A3-4FFB-8524-D9CBC6501382}">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0" dT="2020-07-01T09:27:14.39" personId="{43730C35-DE4D-48C1-BE0A-B74986E2E47F}" id="{8EFAF52E-A6CC-4D65-A137-B9D29D827046}">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3" dT="2020-07-01T09:27:31.91" personId="{43730C35-DE4D-48C1-BE0A-B74986E2E47F}" id="{22A539EA-0F26-4BA3-81C0-B1FD792832B3}">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47" dT="2020-07-01T09:28:08.22" personId="{43730C35-DE4D-48C1-BE0A-B74986E2E47F}" id="{EBBBC1A6-6D1D-4D35-B856-C88DCE94B03E}">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48" dT="2020-07-01T09:28:21.98" personId="{43730C35-DE4D-48C1-BE0A-B74986E2E47F}" id="{7F0CD20C-A36C-40E3-8ED1-78C3345C3470}">
    <text>1.6	sixth, to pay all amounts due and payable under the Liquidity Facility other than in respect of principal;</text>
  </threadedComment>
  <threadedComment ref="C149" dT="2020-07-01T09:28:38.95" personId="{43730C35-DE4D-48C1-BE0A-B74986E2E47F}" id="{D52091A6-817C-41B7-8E27-539164FE59CE}">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3" dT="2020-07-01T09:28:53.80" personId="{43730C35-DE4D-48C1-BE0A-B74986E2E47F}" id="{54932BFF-E7B5-42BB-93EC-015BB156E5D2}">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4" dT="2020-07-01T09:29:09.23" personId="{43730C35-DE4D-48C1-BE0A-B74986E2E47F}" id="{B02C1E20-47BD-4FE1-A127-A7C73E60C9E3}">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5" dT="2020-07-01T09:29:24.56" personId="{43730C35-DE4D-48C1-BE0A-B74986E2E47F}" id="{E194E2D2-AF20-4858-98FC-A65BBBE315F3}">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6" dT="2020-07-01T09:29:39.12" personId="{43730C35-DE4D-48C1-BE0A-B74986E2E47F}" id="{D26AF76E-1E4A-48CC-85A2-500AA8F71FAB}">
    <text>1.11	eleventh, to repay all principal amounts outstanding under the Liquidity Facility as at the immediately preceding Determination Date up to an amount equal to the Potential Redemption Amount;</text>
  </threadedComment>
  <threadedComment ref="C157" dT="2020-07-01T09:30:54.67" personId="{43730C35-DE4D-48C1-BE0A-B74986E2E47F}" id="{CADB9B51-57C1-41DC-A9C5-7F163C7166F1}">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58" dT="2020-07-01T09:32:55.52" personId="{43730C35-DE4D-48C1-BE0A-B74986E2E47F}" id="{B4F868B7-18AA-4F38-AF46-5AA617C2C3D3}">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59" dT="2020-07-01T10:02:56.38" personId="{43730C35-DE4D-48C1-BE0A-B74986E2E47F}" id="{0F6E6A63-D013-4F73-8B87-F882A5EBA4C6}">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6" dT="2020-07-01T10:03:22.01" personId="{43730C35-DE4D-48C1-BE0A-B74986E2E47F}" id="{2A9192D2-35CC-4B19-96C2-FEE8691CDFC7}">
    <text>1.16	sixteenth, to credit the Arrears Reserve up to the Arrears Reserve Required Amount;</text>
  </threadedComment>
  <threadedComment ref="C167" dT="2020-07-01T10:05:05.09" personId="{43730C35-DE4D-48C1-BE0A-B74986E2E47F}" id="{6E8AF7D7-B631-4E8F-9EE7-FC40E552706D}">
    <text>1.17	seventeenth, if a Class B Interest Deferral Event has occurred on or prior to such Interest Payment Date, to pay interest due and payable in respect of the Class B Notes;</text>
  </threadedComment>
  <threadedComment ref="C168" dT="2020-07-01T12:04:10.91" personId="{43730C35-DE4D-48C1-BE0A-B74986E2E47F}" id="{5F9BC485-5675-42B0-9148-735DF1E17994}">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1" dT="2020-07-01T10:03:22.01" personId="{43730C35-DE4D-48C1-BE0A-B74986E2E47F}" id="{0474F48A-2586-494C-AD47-C5C2BE71D109}">
    <text>1.16	sixteenth, to credit the Arrears Reserve up to the Arrears Reserve Required Amount;</text>
  </threadedComment>
  <threadedComment ref="C172" dT="2020-07-01T12:05:33.95" personId="{43730C35-DE4D-48C1-BE0A-B74986E2E47F}" id="{B863A138-945F-4448-982B-15D84508686C}">
    <text>1.19	nineteenth, if a Class C Interest Deferral Event has occurred on or prior to such Interest Payment Date, to pay interest due and payable in respect of the Class C Notes;</text>
  </threadedComment>
  <threadedComment ref="C173" dT="2020-07-01T12:06:45.00" personId="{43730C35-DE4D-48C1-BE0A-B74986E2E47F}" id="{80708209-154A-438A-8112-5283FB2B0315}">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5" dT="2020-07-01T12:08:33.83" personId="{43730C35-DE4D-48C1-BE0A-B74986E2E47F}" id="{8D7619F7-FB88-4610-9A48-13D445AFCF21}">
    <text>1.21	twenty-first, to pay or provide for pari passu and pro rata the Derivative Termination Amounts due and payable to any Derivative Counterparty under the Derivative Contracts where the Derivative Counterparty is in default;</text>
  </threadedComment>
  <threadedComment ref="C176" dT="2020-07-01T12:32:50.70" personId="{43730C35-DE4D-48C1-BE0A-B74986E2E47F}" id="{9EEC3D72-CB8C-4D67-BCE0-329EA3D68D78}">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77" dT="2020-07-01T12:33:36.96" personId="{43730C35-DE4D-48C1-BE0A-B74986E2E47F}" id="{5B5FBE62-46BC-429D-95B9-A1447C5A82C5}">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78" dT="2020-07-01T12:52:53.39" personId="{43730C35-DE4D-48C1-BE0A-B74986E2E47F}" id="{8A46663A-829B-460D-85D2-A46704E3F52F}">
    <text>1.24	twenty-forth, to pay amounts due and payable in respect of the Subordinated Loan;</text>
  </threadedComment>
  <threadedComment ref="C182" dT="2020-07-01T12:53:16.85" personId="{43730C35-DE4D-48C1-BE0A-B74986E2E47F}" id="{817B1FB4-ADE5-40C3-910E-ADB6542EF049}">
    <text>1.25	twenty-fifth, to pay or provide for the dividend due and payable to the Preference Shareholder, net of Taxes; and</text>
  </threadedComment>
  <threadedComment ref="C183" dT="2020-07-01T12:53:33.02" personId="{43730C35-DE4D-48C1-BE0A-B74986E2E47F}" id="{FD8D6B24-73DE-4975-A6FE-93D47F45EDD2}">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326D5-6390-4494-8E3F-27FA60AE6E13}">
  <dimension ref="B1:AB238"/>
  <sheetViews>
    <sheetView zoomScale="80" zoomScaleNormal="80" workbookViewId="0">
      <selection activeCell="M47" sqref="M47"/>
    </sheetView>
  </sheetViews>
  <sheetFormatPr defaultColWidth="9.140625" defaultRowHeight="15"/>
  <cols>
    <col min="1" max="1" width="9.140625" style="1"/>
    <col min="2" max="2" width="3.42578125" style="1" customWidth="1"/>
    <col min="3" max="3" width="39.140625" style="1" customWidth="1"/>
    <col min="4" max="4" width="11.85546875" style="1" bestFit="1" customWidth="1"/>
    <col min="5" max="5" width="11.42578125" style="1" customWidth="1"/>
    <col min="6" max="6" width="9.140625" style="1"/>
    <col min="7" max="7" width="15.42578125" style="1" customWidth="1"/>
    <col min="8" max="8" width="16" style="1" customWidth="1"/>
    <col min="9" max="9" width="16.140625" style="1" customWidth="1"/>
    <col min="10" max="13" width="18.140625" style="1" customWidth="1"/>
    <col min="14" max="15" width="15.7109375" style="1" customWidth="1"/>
    <col min="16" max="16" width="17.7109375" style="1" bestFit="1" customWidth="1"/>
    <col min="17" max="17" width="17.7109375" style="1" customWidth="1"/>
    <col min="18" max="18" width="17.28515625" style="1" customWidth="1"/>
    <col min="19" max="19" width="4" style="1" customWidth="1"/>
    <col min="20" max="20" width="17.7109375" style="1" customWidth="1"/>
    <col min="21" max="21" width="13.85546875" style="1" bestFit="1" customWidth="1"/>
    <col min="22" max="22" width="14" style="1" customWidth="1"/>
    <col min="23" max="23" width="14.28515625" style="1" hidden="1" customWidth="1"/>
    <col min="24" max="24" width="12.85546875" style="1" bestFit="1" customWidth="1"/>
    <col min="25" max="25" width="13.5703125" style="1" customWidth="1"/>
    <col min="26" max="26" width="9.140625" style="1"/>
    <col min="27" max="27" width="13.5703125" style="1" bestFit="1" customWidth="1"/>
    <col min="28" max="28" width="12.140625" style="1" bestFit="1" customWidth="1"/>
    <col min="29" max="16384" width="9.140625" style="1"/>
  </cols>
  <sheetData>
    <row r="1" spans="2:19" ht="15.75" thickBot="1"/>
    <row r="2" spans="2:19" ht="15.75" thickBot="1">
      <c r="B2" s="2"/>
      <c r="C2" s="3"/>
      <c r="D2" s="3"/>
      <c r="E2" s="3"/>
      <c r="F2" s="3"/>
      <c r="G2" s="3"/>
      <c r="H2" s="3"/>
      <c r="I2" s="3"/>
      <c r="J2" s="3"/>
      <c r="K2" s="3"/>
      <c r="L2" s="3"/>
      <c r="M2" s="3"/>
      <c r="N2" s="3"/>
      <c r="O2" s="3"/>
      <c r="P2" s="3"/>
      <c r="Q2" s="3"/>
      <c r="R2" s="3"/>
      <c r="S2" s="4"/>
    </row>
    <row r="3" spans="2:19" ht="20.25" customHeight="1">
      <c r="B3" s="5"/>
      <c r="C3" s="6" t="s">
        <v>0</v>
      </c>
      <c r="D3" s="7"/>
      <c r="E3" s="7"/>
      <c r="F3" s="7"/>
      <c r="G3" s="7"/>
      <c r="H3" s="7"/>
      <c r="I3" s="7"/>
      <c r="J3" s="7"/>
      <c r="K3" s="7"/>
      <c r="L3" s="7"/>
      <c r="M3" s="7"/>
      <c r="N3" s="7"/>
      <c r="O3" s="7"/>
      <c r="P3" s="7"/>
      <c r="Q3" s="7"/>
      <c r="R3" s="8"/>
      <c r="S3" s="9"/>
    </row>
    <row r="4" spans="2:19" ht="20.25" customHeight="1" thickBot="1">
      <c r="B4" s="5"/>
      <c r="C4" s="10"/>
      <c r="D4" s="11"/>
      <c r="E4" s="11"/>
      <c r="F4" s="11"/>
      <c r="G4" s="11"/>
      <c r="H4" s="11"/>
      <c r="I4" s="11"/>
      <c r="J4" s="11"/>
      <c r="K4" s="11"/>
      <c r="L4" s="11"/>
      <c r="M4" s="11"/>
      <c r="N4" s="11"/>
      <c r="O4" s="11"/>
      <c r="P4" s="11"/>
      <c r="Q4" s="11"/>
      <c r="R4" s="12"/>
      <c r="S4" s="9"/>
    </row>
    <row r="5" spans="2:19" ht="15.75" thickBot="1">
      <c r="B5" s="5"/>
      <c r="C5" s="13"/>
      <c r="D5" s="13"/>
      <c r="E5" s="13"/>
      <c r="F5" s="13"/>
      <c r="G5" s="13"/>
      <c r="H5" s="13"/>
      <c r="I5" s="13"/>
      <c r="J5" s="13"/>
      <c r="K5" s="13"/>
      <c r="L5" s="13"/>
      <c r="M5" s="13"/>
      <c r="N5" s="13"/>
      <c r="O5" s="13"/>
      <c r="P5" s="13"/>
      <c r="Q5" s="13"/>
      <c r="R5" s="13"/>
      <c r="S5" s="9"/>
    </row>
    <row r="6" spans="2:19" ht="15.75" thickBot="1">
      <c r="B6" s="5"/>
      <c r="C6" s="14" t="s">
        <v>1</v>
      </c>
      <c r="D6" s="15"/>
      <c r="E6" s="15"/>
      <c r="F6" s="15"/>
      <c r="G6" s="15"/>
      <c r="H6" s="15"/>
      <c r="I6" s="15"/>
      <c r="J6" s="15"/>
      <c r="K6" s="15"/>
      <c r="L6" s="15"/>
      <c r="M6" s="15"/>
      <c r="N6" s="15"/>
      <c r="O6" s="15"/>
      <c r="P6" s="15"/>
      <c r="Q6" s="15"/>
      <c r="R6" s="16"/>
      <c r="S6" s="9"/>
    </row>
    <row r="7" spans="2:19" ht="15.75" thickBot="1">
      <c r="B7" s="5"/>
      <c r="C7" s="13"/>
      <c r="D7" s="13"/>
      <c r="E7" s="13"/>
      <c r="F7" s="13"/>
      <c r="G7" s="13"/>
      <c r="H7" s="13"/>
      <c r="I7" s="13"/>
      <c r="J7" s="13"/>
      <c r="K7" s="13"/>
      <c r="L7" s="13"/>
      <c r="M7" s="13"/>
      <c r="N7" s="13"/>
      <c r="O7" s="13"/>
      <c r="P7" s="13"/>
      <c r="Q7" s="13"/>
      <c r="R7" s="13"/>
      <c r="S7" s="9"/>
    </row>
    <row r="8" spans="2:19">
      <c r="B8" s="5"/>
      <c r="C8" s="17" t="s">
        <v>2</v>
      </c>
      <c r="D8" s="18"/>
      <c r="E8" s="18"/>
      <c r="F8" s="18"/>
      <c r="G8" s="18"/>
      <c r="H8" s="18"/>
      <c r="I8" s="19"/>
      <c r="J8" s="20">
        <f>J9+12</f>
        <v>44969</v>
      </c>
      <c r="K8" s="20"/>
      <c r="L8" s="20"/>
      <c r="M8" s="20"/>
      <c r="N8" s="20"/>
      <c r="O8" s="20"/>
      <c r="P8" s="20"/>
      <c r="Q8" s="21"/>
      <c r="R8" s="22"/>
      <c r="S8" s="9"/>
    </row>
    <row r="9" spans="2:19">
      <c r="B9" s="5"/>
      <c r="C9" s="23" t="s">
        <v>3</v>
      </c>
      <c r="D9" s="24"/>
      <c r="E9" s="24"/>
      <c r="F9" s="24"/>
      <c r="G9" s="24"/>
      <c r="H9" s="24"/>
      <c r="I9" s="25"/>
      <c r="J9" s="26">
        <f>'Servicer Report'!J9</f>
        <v>44957</v>
      </c>
      <c r="K9" s="26"/>
      <c r="L9" s="26"/>
      <c r="M9" s="26"/>
      <c r="N9" s="26"/>
      <c r="O9" s="26"/>
      <c r="P9" s="26"/>
      <c r="Q9" s="27"/>
      <c r="R9" s="28"/>
      <c r="S9" s="9"/>
    </row>
    <row r="10" spans="2:19">
      <c r="B10" s="5"/>
      <c r="C10" s="29" t="s">
        <v>4</v>
      </c>
      <c r="D10" s="30"/>
      <c r="E10" s="31"/>
      <c r="F10" s="32" t="s">
        <v>5</v>
      </c>
      <c r="G10" s="24"/>
      <c r="H10" s="24"/>
      <c r="I10" s="25"/>
      <c r="J10" s="26">
        <f>'Servicer Report'!J10</f>
        <v>44865</v>
      </c>
      <c r="K10" s="26"/>
      <c r="L10" s="26"/>
      <c r="M10" s="26"/>
      <c r="N10" s="26"/>
      <c r="O10" s="26"/>
      <c r="P10" s="26"/>
      <c r="Q10" s="27"/>
      <c r="R10" s="28"/>
      <c r="S10" s="9"/>
    </row>
    <row r="11" spans="2:19" ht="15" customHeight="1">
      <c r="B11" s="5"/>
      <c r="C11" s="33"/>
      <c r="D11" s="34"/>
      <c r="E11" s="35"/>
      <c r="F11" s="36" t="s">
        <v>6</v>
      </c>
      <c r="G11" s="24"/>
      <c r="H11" s="24"/>
      <c r="I11" s="25"/>
      <c r="J11" s="26">
        <f>'Servicer Report'!J11</f>
        <v>44957</v>
      </c>
      <c r="K11" s="26"/>
      <c r="L11" s="26"/>
      <c r="M11" s="26"/>
      <c r="N11" s="26"/>
      <c r="O11" s="26"/>
      <c r="P11" s="26"/>
      <c r="Q11" s="27"/>
      <c r="R11" s="28"/>
      <c r="S11" s="9"/>
    </row>
    <row r="12" spans="2:19">
      <c r="B12" s="5"/>
      <c r="C12" s="37" t="s">
        <v>7</v>
      </c>
      <c r="D12" s="38"/>
      <c r="E12" s="39"/>
      <c r="F12" s="40"/>
      <c r="G12" s="24"/>
      <c r="H12" s="24"/>
      <c r="I12" s="25"/>
      <c r="J12" s="41">
        <f>J11-J10</f>
        <v>92</v>
      </c>
      <c r="K12" s="41"/>
      <c r="L12" s="41"/>
      <c r="M12" s="41"/>
      <c r="N12" s="41"/>
      <c r="O12" s="41"/>
      <c r="P12" s="41"/>
      <c r="Q12" s="42"/>
      <c r="R12" s="43"/>
      <c r="S12" s="9"/>
    </row>
    <row r="13" spans="2:19">
      <c r="B13" s="5"/>
      <c r="C13" s="44" t="s">
        <v>8</v>
      </c>
      <c r="D13" s="40"/>
      <c r="E13" s="40"/>
      <c r="F13" s="40"/>
      <c r="G13" s="40"/>
      <c r="H13" s="40"/>
      <c r="I13" s="45"/>
      <c r="J13" s="26">
        <f>'Servicer Report'!J18</f>
        <v>44972</v>
      </c>
      <c r="K13" s="26"/>
      <c r="L13" s="26"/>
      <c r="M13" s="26"/>
      <c r="N13" s="26"/>
      <c r="O13" s="26"/>
      <c r="P13" s="26"/>
      <c r="Q13" s="27"/>
      <c r="R13" s="28"/>
      <c r="S13" s="9"/>
    </row>
    <row r="14" spans="2:19">
      <c r="B14" s="5"/>
      <c r="C14" s="29" t="s">
        <v>9</v>
      </c>
      <c r="D14" s="30"/>
      <c r="E14" s="35"/>
      <c r="F14" s="46" t="s">
        <v>10</v>
      </c>
      <c r="G14" s="40"/>
      <c r="H14" s="40"/>
      <c r="I14" s="45"/>
      <c r="J14" s="26">
        <f>'Servicer Report'!J17</f>
        <v>44880</v>
      </c>
      <c r="K14" s="26"/>
      <c r="L14" s="26"/>
      <c r="M14" s="26"/>
      <c r="N14" s="26"/>
      <c r="O14" s="26"/>
      <c r="P14" s="26"/>
      <c r="Q14" s="27"/>
      <c r="R14" s="28"/>
      <c r="S14" s="9"/>
    </row>
    <row r="15" spans="2:19" ht="15" customHeight="1">
      <c r="B15" s="5"/>
      <c r="C15" s="33"/>
      <c r="D15" s="34"/>
      <c r="E15" s="47"/>
      <c r="F15" s="32" t="s">
        <v>11</v>
      </c>
      <c r="G15" s="40"/>
      <c r="H15" s="40"/>
      <c r="I15" s="45"/>
      <c r="J15" s="26">
        <f>J13</f>
        <v>44972</v>
      </c>
      <c r="K15" s="26"/>
      <c r="L15" s="26"/>
      <c r="M15" s="26"/>
      <c r="N15" s="26"/>
      <c r="O15" s="26"/>
      <c r="P15" s="26"/>
      <c r="Q15" s="27"/>
      <c r="R15" s="28"/>
      <c r="S15" s="9"/>
    </row>
    <row r="16" spans="2:19">
      <c r="B16" s="5"/>
      <c r="C16" s="37" t="s">
        <v>12</v>
      </c>
      <c r="D16" s="48"/>
      <c r="E16" s="48"/>
      <c r="F16" s="40"/>
      <c r="G16" s="40"/>
      <c r="H16" s="40"/>
      <c r="I16" s="45"/>
      <c r="J16" s="41">
        <f>J15-J14</f>
        <v>92</v>
      </c>
      <c r="K16" s="41"/>
      <c r="L16" s="41"/>
      <c r="M16" s="41"/>
      <c r="N16" s="41"/>
      <c r="O16" s="41"/>
      <c r="P16" s="41"/>
      <c r="Q16" s="42"/>
      <c r="R16" s="43"/>
      <c r="S16" s="9"/>
    </row>
    <row r="17" spans="2:21">
      <c r="B17" s="5"/>
      <c r="C17" s="49" t="s">
        <v>13</v>
      </c>
      <c r="D17" s="39"/>
      <c r="E17" s="39"/>
      <c r="F17" s="40"/>
      <c r="G17" s="40"/>
      <c r="H17" s="40"/>
      <c r="I17" s="45"/>
      <c r="J17" s="50">
        <f>SUM(G31:R31)</f>
        <v>1412000000</v>
      </c>
      <c r="K17" s="50"/>
      <c r="L17" s="50"/>
      <c r="M17" s="50"/>
      <c r="N17" s="50"/>
      <c r="O17" s="50"/>
      <c r="P17" s="50"/>
      <c r="Q17" s="51"/>
      <c r="R17" s="52"/>
      <c r="S17" s="9"/>
    </row>
    <row r="18" spans="2:21">
      <c r="B18" s="5"/>
      <c r="C18" s="49" t="s">
        <v>14</v>
      </c>
      <c r="D18" s="39"/>
      <c r="E18" s="39"/>
      <c r="F18" s="40"/>
      <c r="G18" s="40"/>
      <c r="H18" s="40"/>
      <c r="I18" s="45"/>
      <c r="J18" s="50">
        <f>SUM(G35:R35)</f>
        <v>1329856434</v>
      </c>
      <c r="K18" s="50"/>
      <c r="L18" s="50"/>
      <c r="M18" s="50"/>
      <c r="N18" s="50"/>
      <c r="O18" s="50"/>
      <c r="P18" s="50"/>
      <c r="Q18" s="51"/>
      <c r="R18" s="52"/>
      <c r="S18" s="9"/>
      <c r="U18" s="53"/>
    </row>
    <row r="19" spans="2:21">
      <c r="B19" s="5"/>
      <c r="C19" s="37" t="s">
        <v>15</v>
      </c>
      <c r="D19" s="48"/>
      <c r="E19" s="48"/>
      <c r="F19" s="24"/>
      <c r="G19" s="24"/>
      <c r="H19" s="24"/>
      <c r="I19" s="25"/>
      <c r="J19" s="50">
        <f>SUM(G40:R40)</f>
        <v>1291729861</v>
      </c>
      <c r="K19" s="50"/>
      <c r="L19" s="50"/>
      <c r="M19" s="50"/>
      <c r="N19" s="50"/>
      <c r="O19" s="50"/>
      <c r="P19" s="50"/>
      <c r="Q19" s="51"/>
      <c r="R19" s="52"/>
      <c r="S19" s="9"/>
    </row>
    <row r="20" spans="2:21" ht="15.75" thickBot="1">
      <c r="B20" s="5"/>
      <c r="C20" s="54" t="s">
        <v>16</v>
      </c>
      <c r="D20" s="55"/>
      <c r="E20" s="55"/>
      <c r="F20" s="55"/>
      <c r="G20" s="55"/>
      <c r="H20" s="55"/>
      <c r="I20" s="55"/>
      <c r="J20" s="56" t="s">
        <v>17</v>
      </c>
      <c r="K20" s="56"/>
      <c r="L20" s="56"/>
      <c r="M20" s="56"/>
      <c r="N20" s="56"/>
      <c r="O20" s="56"/>
      <c r="P20" s="56"/>
      <c r="Q20" s="57"/>
      <c r="R20" s="58"/>
      <c r="S20" s="9"/>
    </row>
    <row r="21" spans="2:21" ht="15.75" thickBot="1">
      <c r="B21" s="5"/>
      <c r="C21" s="13"/>
      <c r="D21" s="13"/>
      <c r="E21" s="13"/>
      <c r="F21" s="13"/>
      <c r="G21" s="13"/>
      <c r="H21" s="13"/>
      <c r="I21" s="13"/>
      <c r="J21" s="13"/>
      <c r="K21" s="13"/>
      <c r="L21" s="13"/>
      <c r="M21" s="13"/>
      <c r="N21" s="13"/>
      <c r="O21" s="13"/>
      <c r="P21" s="13"/>
      <c r="Q21" s="13"/>
      <c r="R21" s="13"/>
      <c r="S21" s="9"/>
    </row>
    <row r="22" spans="2:21">
      <c r="B22" s="5"/>
      <c r="C22" s="59" t="s">
        <v>18</v>
      </c>
      <c r="D22" s="60"/>
      <c r="E22" s="60"/>
      <c r="F22" s="60"/>
      <c r="G22" s="60"/>
      <c r="H22" s="60"/>
      <c r="I22" s="60"/>
      <c r="J22" s="60"/>
      <c r="K22" s="60"/>
      <c r="L22" s="60"/>
      <c r="M22" s="60"/>
      <c r="N22" s="60"/>
      <c r="O22" s="60"/>
      <c r="P22" s="60"/>
      <c r="Q22" s="60"/>
      <c r="R22" s="61"/>
      <c r="S22" s="9"/>
    </row>
    <row r="23" spans="2:21">
      <c r="B23" s="5"/>
      <c r="C23" s="44" t="s">
        <v>19</v>
      </c>
      <c r="D23" s="62"/>
      <c r="E23" s="62"/>
      <c r="F23" s="62"/>
      <c r="G23" s="32" t="s">
        <v>20</v>
      </c>
      <c r="H23" s="32" t="s">
        <v>21</v>
      </c>
      <c r="I23" s="32" t="s">
        <v>22</v>
      </c>
      <c r="J23" s="32" t="s">
        <v>23</v>
      </c>
      <c r="K23" s="32" t="s">
        <v>24</v>
      </c>
      <c r="L23" s="32" t="s">
        <v>25</v>
      </c>
      <c r="M23" s="32" t="s">
        <v>26</v>
      </c>
      <c r="N23" s="32" t="s">
        <v>27</v>
      </c>
      <c r="O23" s="32" t="s">
        <v>27</v>
      </c>
      <c r="P23" s="32" t="s">
        <v>28</v>
      </c>
      <c r="Q23" s="63" t="s">
        <v>28</v>
      </c>
      <c r="R23" s="64" t="s">
        <v>28</v>
      </c>
      <c r="S23" s="9"/>
    </row>
    <row r="24" spans="2:21">
      <c r="B24" s="5"/>
      <c r="C24" s="65" t="s">
        <v>29</v>
      </c>
      <c r="D24" s="66"/>
      <c r="E24" s="66"/>
      <c r="F24" s="66"/>
      <c r="G24" s="67" t="s">
        <v>30</v>
      </c>
      <c r="H24" s="67" t="s">
        <v>31</v>
      </c>
      <c r="I24" s="67" t="s">
        <v>32</v>
      </c>
      <c r="J24" s="67" t="s">
        <v>33</v>
      </c>
      <c r="K24" s="67" t="s">
        <v>34</v>
      </c>
      <c r="L24" s="67" t="s">
        <v>35</v>
      </c>
      <c r="M24" s="67" t="s">
        <v>36</v>
      </c>
      <c r="N24" s="67" t="s">
        <v>37</v>
      </c>
      <c r="O24" s="67" t="s">
        <v>38</v>
      </c>
      <c r="P24" s="67" t="s">
        <v>39</v>
      </c>
      <c r="Q24" s="68" t="s">
        <v>40</v>
      </c>
      <c r="R24" s="69" t="s">
        <v>41</v>
      </c>
      <c r="S24" s="9"/>
    </row>
    <row r="25" spans="2:21">
      <c r="B25" s="5"/>
      <c r="C25" s="44" t="s">
        <v>42</v>
      </c>
      <c r="D25" s="62"/>
      <c r="E25" s="62"/>
      <c r="F25" s="62"/>
      <c r="G25" s="67" t="s">
        <v>43</v>
      </c>
      <c r="H25" s="67" t="s">
        <v>44</v>
      </c>
      <c r="I25" s="67" t="s">
        <v>45</v>
      </c>
      <c r="J25" s="67" t="s">
        <v>46</v>
      </c>
      <c r="K25" s="67" t="s">
        <v>47</v>
      </c>
      <c r="L25" s="67" t="s">
        <v>48</v>
      </c>
      <c r="M25" s="67" t="s">
        <v>49</v>
      </c>
      <c r="N25" s="67" t="s">
        <v>50</v>
      </c>
      <c r="O25" s="67" t="s">
        <v>50</v>
      </c>
      <c r="P25" s="67" t="s">
        <v>51</v>
      </c>
      <c r="Q25" s="68" t="s">
        <v>52</v>
      </c>
      <c r="R25" s="70" t="s">
        <v>53</v>
      </c>
      <c r="S25" s="9"/>
    </row>
    <row r="26" spans="2:21">
      <c r="B26" s="5"/>
      <c r="C26" s="44" t="s">
        <v>54</v>
      </c>
      <c r="D26" s="62"/>
      <c r="E26" s="62"/>
      <c r="F26" s="62"/>
      <c r="G26" s="67" t="s">
        <v>55</v>
      </c>
      <c r="H26" s="67" t="s">
        <v>55</v>
      </c>
      <c r="I26" s="71" t="s">
        <v>55</v>
      </c>
      <c r="J26" s="71" t="s">
        <v>55</v>
      </c>
      <c r="K26" s="71" t="s">
        <v>55</v>
      </c>
      <c r="L26" s="71" t="s">
        <v>55</v>
      </c>
      <c r="M26" s="71" t="s">
        <v>56</v>
      </c>
      <c r="N26" s="71" t="s">
        <v>55</v>
      </c>
      <c r="O26" s="71" t="s">
        <v>55</v>
      </c>
      <c r="P26" s="71" t="s">
        <v>55</v>
      </c>
      <c r="Q26" s="72" t="s">
        <v>55</v>
      </c>
      <c r="R26" s="69" t="s">
        <v>55</v>
      </c>
      <c r="S26" s="9"/>
    </row>
    <row r="27" spans="2:21">
      <c r="B27" s="5"/>
      <c r="C27" s="65" t="s">
        <v>57</v>
      </c>
      <c r="D27" s="66"/>
      <c r="E27" s="66"/>
      <c r="F27" s="66"/>
      <c r="G27" s="73">
        <v>1.55E-2</v>
      </c>
      <c r="H27" s="74">
        <v>1.7000000000000001E-2</v>
      </c>
      <c r="I27" s="75">
        <v>1.4999999999999999E-2</v>
      </c>
      <c r="J27" s="75">
        <v>2.1999999999999999E-2</v>
      </c>
      <c r="K27" s="75">
        <v>2.35E-2</v>
      </c>
      <c r="L27" s="75">
        <v>2.5000000000000001E-2</v>
      </c>
      <c r="M27" s="76" t="s">
        <v>58</v>
      </c>
      <c r="N27" s="75">
        <v>2.5000000000000001E-2</v>
      </c>
      <c r="O27" s="75">
        <v>2.7400000000000001E-2</v>
      </c>
      <c r="P27" s="75">
        <v>3.7999999999999999E-2</v>
      </c>
      <c r="Q27" s="77">
        <v>0.04</v>
      </c>
      <c r="R27" s="78">
        <v>3.6999999999999998E-2</v>
      </c>
      <c r="S27" s="9"/>
    </row>
    <row r="28" spans="2:21">
      <c r="B28" s="5"/>
      <c r="C28" s="44" t="s">
        <v>59</v>
      </c>
      <c r="D28" s="62"/>
      <c r="E28" s="62"/>
      <c r="F28" s="62"/>
      <c r="G28" s="73">
        <f t="shared" ref="G28:P28" si="0">G27*1.3</f>
        <v>2.0150000000000001E-2</v>
      </c>
      <c r="H28" s="74">
        <f t="shared" si="0"/>
        <v>2.2100000000000002E-2</v>
      </c>
      <c r="I28" s="75">
        <f>I27*1.3</f>
        <v>1.95E-2</v>
      </c>
      <c r="J28" s="75">
        <f t="shared" si="0"/>
        <v>2.86E-2</v>
      </c>
      <c r="K28" s="75">
        <f t="shared" si="0"/>
        <v>3.0550000000000001E-2</v>
      </c>
      <c r="L28" s="75">
        <f t="shared" si="0"/>
        <v>3.2500000000000001E-2</v>
      </c>
      <c r="M28" s="75">
        <f>L28</f>
        <v>3.2500000000000001E-2</v>
      </c>
      <c r="N28" s="75">
        <f t="shared" si="0"/>
        <v>3.2500000000000001E-2</v>
      </c>
      <c r="O28" s="75">
        <f t="shared" si="0"/>
        <v>3.5619999999999999E-2</v>
      </c>
      <c r="P28" s="75">
        <f t="shared" si="0"/>
        <v>4.9399999999999999E-2</v>
      </c>
      <c r="Q28" s="77">
        <v>5.2000000000000005E-2</v>
      </c>
      <c r="R28" s="78">
        <f>R27*1.3</f>
        <v>4.8099999999999997E-2</v>
      </c>
      <c r="S28" s="9"/>
    </row>
    <row r="29" spans="2:21">
      <c r="B29" s="5"/>
      <c r="C29" s="44" t="s">
        <v>60</v>
      </c>
      <c r="D29" s="62"/>
      <c r="E29" s="62"/>
      <c r="F29" s="62"/>
      <c r="G29" s="73">
        <f>'Servicer Report'!$J$16</f>
        <v>6.6170000000000007E-2</v>
      </c>
      <c r="H29" s="74">
        <f>'Servicer Report'!$J$16</f>
        <v>6.6170000000000007E-2</v>
      </c>
      <c r="I29" s="75">
        <v>7.2169999999999998E-2</v>
      </c>
      <c r="J29" s="75">
        <f>'Servicer Report'!$J$16</f>
        <v>6.6170000000000007E-2</v>
      </c>
      <c r="K29" s="75">
        <f>'Servicer Report'!$J$16</f>
        <v>6.6170000000000007E-2</v>
      </c>
      <c r="L29" s="75">
        <v>7.2169999999999998E-2</v>
      </c>
      <c r="M29" s="76" t="s">
        <v>58</v>
      </c>
      <c r="N29" s="75">
        <f>'Servicer Report'!$J$16</f>
        <v>6.6170000000000007E-2</v>
      </c>
      <c r="O29" s="75">
        <f>'Servicer Report'!$J$16</f>
        <v>6.6170000000000007E-2</v>
      </c>
      <c r="P29" s="75">
        <f>'Servicer Report'!$J$16</f>
        <v>6.6170000000000007E-2</v>
      </c>
      <c r="Q29" s="77">
        <v>6.6170000000000007E-2</v>
      </c>
      <c r="R29" s="78">
        <v>7.2580000000000006E-2</v>
      </c>
      <c r="S29" s="9"/>
    </row>
    <row r="30" spans="2:21">
      <c r="B30" s="5"/>
      <c r="C30" s="44" t="s">
        <v>61</v>
      </c>
      <c r="D30" s="62"/>
      <c r="E30" s="62"/>
      <c r="F30" s="62"/>
      <c r="G30" s="73">
        <f>G29+G27</f>
        <v>8.1670000000000006E-2</v>
      </c>
      <c r="H30" s="74">
        <f>H29+H27</f>
        <v>8.3170000000000008E-2</v>
      </c>
      <c r="I30" s="75">
        <f>I29+I27</f>
        <v>8.7169999999999997E-2</v>
      </c>
      <c r="J30" s="75">
        <f t="shared" ref="J30:K30" si="1">J29+J27</f>
        <v>8.8169999999999998E-2</v>
      </c>
      <c r="K30" s="75">
        <f t="shared" si="1"/>
        <v>8.967E-2</v>
      </c>
      <c r="L30" s="75">
        <f>L29+L27</f>
        <v>9.7170000000000006E-2</v>
      </c>
      <c r="M30" s="79">
        <v>0.10235</v>
      </c>
      <c r="N30" s="75">
        <f t="shared" ref="N30:O30" si="2">N29+N27</f>
        <v>9.1170000000000001E-2</v>
      </c>
      <c r="O30" s="75">
        <f t="shared" si="2"/>
        <v>9.3570000000000014E-2</v>
      </c>
      <c r="P30" s="75">
        <f>P29+P27</f>
        <v>0.10417000000000001</v>
      </c>
      <c r="Q30" s="77">
        <v>0.10617000000000001</v>
      </c>
      <c r="R30" s="78">
        <f>R27+R29</f>
        <v>0.10958000000000001</v>
      </c>
      <c r="S30" s="9"/>
    </row>
    <row r="31" spans="2:21">
      <c r="B31" s="5"/>
      <c r="C31" s="65" t="s">
        <v>62</v>
      </c>
      <c r="D31" s="66"/>
      <c r="E31" s="66"/>
      <c r="F31" s="66"/>
      <c r="G31" s="80">
        <v>202000000</v>
      </c>
      <c r="H31" s="80">
        <v>27000000</v>
      </c>
      <c r="I31" s="81">
        <v>150000000</v>
      </c>
      <c r="J31" s="81">
        <v>309000000</v>
      </c>
      <c r="K31" s="81">
        <v>283000000</v>
      </c>
      <c r="L31" s="81">
        <v>135000000</v>
      </c>
      <c r="M31" s="81">
        <v>60000000</v>
      </c>
      <c r="N31" s="81">
        <v>73000000</v>
      </c>
      <c r="O31" s="81">
        <v>118000000</v>
      </c>
      <c r="P31" s="81">
        <v>25000000</v>
      </c>
      <c r="Q31" s="82">
        <v>12000000</v>
      </c>
      <c r="R31" s="83">
        <v>18000000</v>
      </c>
      <c r="S31" s="9"/>
    </row>
    <row r="32" spans="2:21">
      <c r="B32" s="5"/>
      <c r="C32" s="44" t="s">
        <v>63</v>
      </c>
      <c r="D32" s="62"/>
      <c r="E32" s="62"/>
      <c r="F32" s="62"/>
      <c r="G32" s="73">
        <f t="shared" ref="G32:M32" si="3">G31/SUM($G$31:$R$31)</f>
        <v>0.14305949008498584</v>
      </c>
      <c r="H32" s="74">
        <f t="shared" si="3"/>
        <v>1.9121813031161474E-2</v>
      </c>
      <c r="I32" s="75">
        <f t="shared" si="3"/>
        <v>0.10623229461756374</v>
      </c>
      <c r="J32" s="75">
        <f t="shared" si="3"/>
        <v>0.21883852691218131</v>
      </c>
      <c r="K32" s="75">
        <f t="shared" si="3"/>
        <v>0.20042492917847027</v>
      </c>
      <c r="L32" s="75">
        <f t="shared" si="3"/>
        <v>9.560906515580736E-2</v>
      </c>
      <c r="M32" s="75">
        <f t="shared" si="3"/>
        <v>4.2492917847025496E-2</v>
      </c>
      <c r="N32" s="75">
        <f>N31/SUM($E$31:$R$31)</f>
        <v>5.1699716713881017E-2</v>
      </c>
      <c r="O32" s="75">
        <f>O31/SUM($G$31:$R$31)</f>
        <v>8.3569405099150146E-2</v>
      </c>
      <c r="P32" s="75">
        <f>P31/SUM($E$31:$R$31)</f>
        <v>1.7705382436260624E-2</v>
      </c>
      <c r="Q32" s="75">
        <f>Q31/SUM($E$31:$R$31)</f>
        <v>8.4985835694051E-3</v>
      </c>
      <c r="R32" s="84">
        <f>R31/SUM($G$31:$R$31)</f>
        <v>1.2747875354107648E-2</v>
      </c>
      <c r="S32" s="9"/>
    </row>
    <row r="33" spans="2:19">
      <c r="B33" s="5"/>
      <c r="C33" s="44" t="s">
        <v>64</v>
      </c>
      <c r="D33" s="62"/>
      <c r="E33" s="62"/>
      <c r="F33" s="62"/>
      <c r="G33" s="73">
        <v>8.4345494220074729E-2</v>
      </c>
      <c r="H33" s="73">
        <v>1.5863069221698316E-2</v>
      </c>
      <c r="I33" s="73">
        <v>0.10235359872803365</v>
      </c>
      <c r="J33" s="73">
        <v>0.21084841337974933</v>
      </c>
      <c r="K33" s="73">
        <v>0.19310712293355684</v>
      </c>
      <c r="L33" s="73">
        <v>9.2118238855230294E-2</v>
      </c>
      <c r="M33" s="73">
        <v>4.0941439491213462E-2</v>
      </c>
      <c r="N33" s="73">
        <v>4.9812084714309715E-2</v>
      </c>
      <c r="O33" s="73">
        <v>8.0518164332719813E-2</v>
      </c>
      <c r="P33" s="73">
        <v>1.7058933121338944E-2</v>
      </c>
      <c r="Q33" s="73">
        <v>8.1882878982426927E-3</v>
      </c>
      <c r="R33" s="84">
        <v>1.2282431847364038E-2</v>
      </c>
      <c r="S33" s="9"/>
    </row>
    <row r="34" spans="2:19">
      <c r="B34" s="5"/>
      <c r="C34" s="85" t="s">
        <v>65</v>
      </c>
      <c r="D34" s="62"/>
      <c r="E34" s="62"/>
      <c r="F34" s="62"/>
      <c r="G34" s="74">
        <f>1-SUM($G$33:$I$33)</f>
        <v>0.79743783783019329</v>
      </c>
      <c r="H34" s="74">
        <f t="shared" ref="H34:J34" si="4">1-SUM($G$33:$I$33)</f>
        <v>0.79743783783019329</v>
      </c>
      <c r="I34" s="75">
        <f t="shared" si="4"/>
        <v>0.79743783783019329</v>
      </c>
      <c r="J34" s="75">
        <f>1-SUM($G$33:$M$33)</f>
        <v>0.2604226231704434</v>
      </c>
      <c r="K34" s="75">
        <f t="shared" ref="K34:N34" si="5">1-SUM($G$33:$M$33)</f>
        <v>0.2604226231704434</v>
      </c>
      <c r="L34" s="75">
        <f t="shared" si="5"/>
        <v>0.2604226231704434</v>
      </c>
      <c r="M34" s="75">
        <f t="shared" si="5"/>
        <v>0.2604226231704434</v>
      </c>
      <c r="N34" s="75">
        <f>1-SUM($G$33:$O$33)</f>
        <v>0.13009237412341379</v>
      </c>
      <c r="O34" s="75">
        <f>1-SUM($G$33:$O$33)</f>
        <v>0.13009237412341379</v>
      </c>
      <c r="P34" s="75">
        <f>1-SUM($G$33:$R$33)</f>
        <v>9.2562721256468139E-2</v>
      </c>
      <c r="Q34" s="75">
        <f t="shared" ref="Q34:R34" si="6">1-SUM($G$33:$R$33)</f>
        <v>9.2562721256468139E-2</v>
      </c>
      <c r="R34" s="84">
        <f t="shared" si="6"/>
        <v>9.2562721256468139E-2</v>
      </c>
      <c r="S34" s="9"/>
    </row>
    <row r="35" spans="2:19">
      <c r="B35" s="5"/>
      <c r="C35" s="44" t="s">
        <v>66</v>
      </c>
      <c r="D35" s="62"/>
      <c r="E35" s="62"/>
      <c r="F35" s="62"/>
      <c r="G35" s="80">
        <v>123608981.90427767</v>
      </c>
      <c r="H35" s="80">
        <v>23247452.095722318</v>
      </c>
      <c r="I35" s="81">
        <v>150000000</v>
      </c>
      <c r="J35" s="81">
        <v>309000000</v>
      </c>
      <c r="K35" s="81">
        <v>283000000</v>
      </c>
      <c r="L35" s="81">
        <v>135000000</v>
      </c>
      <c r="M35" s="81">
        <v>60000000</v>
      </c>
      <c r="N35" s="81">
        <v>73000000</v>
      </c>
      <c r="O35" s="81">
        <v>118000000</v>
      </c>
      <c r="P35" s="81">
        <v>25000000</v>
      </c>
      <c r="Q35" s="82">
        <v>12000000</v>
      </c>
      <c r="R35" s="83">
        <v>18000000</v>
      </c>
      <c r="S35" s="9"/>
    </row>
    <row r="36" spans="2:19">
      <c r="B36" s="5"/>
      <c r="C36" s="44" t="s">
        <v>67</v>
      </c>
      <c r="D36" s="62"/>
      <c r="E36" s="62"/>
      <c r="F36" s="62"/>
      <c r="G36" s="80">
        <f>G35*G30*$J$16/365</f>
        <v>2544529.8377952245</v>
      </c>
      <c r="H36" s="81">
        <f t="shared" ref="H36:Q36" si="7">H35*H30*$J$16/365</f>
        <v>487345.57357181574</v>
      </c>
      <c r="I36" s="81">
        <f>I35*I30*63/365</f>
        <v>2256867.1232876712</v>
      </c>
      <c r="J36" s="81">
        <f t="shared" si="7"/>
        <v>6867114.4109589038</v>
      </c>
      <c r="K36" s="81">
        <f t="shared" si="7"/>
        <v>6396296.2191780824</v>
      </c>
      <c r="L36" s="81">
        <f>L35*L30*63/365</f>
        <v>2264194.1095890412</v>
      </c>
      <c r="M36" s="81">
        <v>0</v>
      </c>
      <c r="N36" s="81">
        <f t="shared" si="7"/>
        <v>1677528</v>
      </c>
      <c r="O36" s="81">
        <f t="shared" si="7"/>
        <v>2783002.5205479455</v>
      </c>
      <c r="P36" s="81">
        <f t="shared" si="7"/>
        <v>656413.69863013702</v>
      </c>
      <c r="Q36" s="82">
        <f t="shared" si="7"/>
        <v>321127.89041095896</v>
      </c>
      <c r="R36" s="83">
        <f>R35*R30*63/365</f>
        <v>340448.54794520553</v>
      </c>
      <c r="S36" s="9"/>
    </row>
    <row r="37" spans="2:19">
      <c r="B37" s="5"/>
      <c r="C37" s="44" t="s">
        <v>68</v>
      </c>
      <c r="D37" s="62"/>
      <c r="E37" s="62"/>
      <c r="F37" s="62"/>
      <c r="G37" s="80">
        <f t="shared" ref="G37:R37" si="8">G36</f>
        <v>2544529.8377952245</v>
      </c>
      <c r="H37" s="81">
        <f t="shared" si="8"/>
        <v>487345.57357181574</v>
      </c>
      <c r="I37" s="81">
        <f t="shared" si="8"/>
        <v>2256867.1232876712</v>
      </c>
      <c r="J37" s="81">
        <f t="shared" si="8"/>
        <v>6867114.4109589038</v>
      </c>
      <c r="K37" s="81">
        <f t="shared" si="8"/>
        <v>6396296.2191780824</v>
      </c>
      <c r="L37" s="81">
        <f t="shared" si="8"/>
        <v>2264194.1095890412</v>
      </c>
      <c r="M37" s="81">
        <f t="shared" si="8"/>
        <v>0</v>
      </c>
      <c r="N37" s="81">
        <f t="shared" si="8"/>
        <v>1677528</v>
      </c>
      <c r="O37" s="81">
        <f t="shared" si="8"/>
        <v>2783002.5205479455</v>
      </c>
      <c r="P37" s="81">
        <f t="shared" si="8"/>
        <v>656413.69863013702</v>
      </c>
      <c r="Q37" s="82">
        <f t="shared" si="8"/>
        <v>321127.89041095896</v>
      </c>
      <c r="R37" s="83">
        <f t="shared" si="8"/>
        <v>340448.54794520553</v>
      </c>
      <c r="S37" s="9"/>
    </row>
    <row r="38" spans="2:19">
      <c r="B38" s="5"/>
      <c r="C38" s="44" t="s">
        <v>69</v>
      </c>
      <c r="D38" s="62"/>
      <c r="E38" s="62"/>
      <c r="F38" s="62"/>
      <c r="G38" s="80">
        <f t="shared" ref="G38:R38" si="9">G36-G37</f>
        <v>0</v>
      </c>
      <c r="H38" s="81">
        <f t="shared" si="9"/>
        <v>0</v>
      </c>
      <c r="I38" s="81">
        <f t="shared" si="9"/>
        <v>0</v>
      </c>
      <c r="J38" s="81">
        <f t="shared" si="9"/>
        <v>0</v>
      </c>
      <c r="K38" s="81">
        <f t="shared" si="9"/>
        <v>0</v>
      </c>
      <c r="L38" s="81">
        <f t="shared" si="9"/>
        <v>0</v>
      </c>
      <c r="M38" s="81">
        <f t="shared" si="9"/>
        <v>0</v>
      </c>
      <c r="N38" s="81">
        <f t="shared" si="9"/>
        <v>0</v>
      </c>
      <c r="O38" s="81">
        <f t="shared" si="9"/>
        <v>0</v>
      </c>
      <c r="P38" s="81">
        <f t="shared" si="9"/>
        <v>0</v>
      </c>
      <c r="Q38" s="82">
        <f t="shared" si="9"/>
        <v>0</v>
      </c>
      <c r="R38" s="83">
        <f t="shared" si="9"/>
        <v>0</v>
      </c>
      <c r="S38" s="9"/>
    </row>
    <row r="39" spans="2:19">
      <c r="B39" s="5"/>
      <c r="C39" s="44" t="s">
        <v>70</v>
      </c>
      <c r="D39" s="62"/>
      <c r="E39" s="62"/>
      <c r="F39" s="62"/>
      <c r="G39" s="80">
        <f>ROUND($K$161,0)*G35/SUM($G$35:$I$35)</f>
        <v>15875643.348963495</v>
      </c>
      <c r="H39" s="81">
        <f>ROUND($K$161,0)*H35/SUM($G$35:$I$35)</f>
        <v>2985772.1709058862</v>
      </c>
      <c r="I39" s="81">
        <f>ROUND($K$161,0)*I35/SUM($G$35:$I$35)</f>
        <v>19265157.480130613</v>
      </c>
      <c r="J39" s="81">
        <v>0</v>
      </c>
      <c r="K39" s="81">
        <v>0</v>
      </c>
      <c r="L39" s="81">
        <v>0</v>
      </c>
      <c r="M39" s="81">
        <v>0</v>
      </c>
      <c r="N39" s="81">
        <v>0</v>
      </c>
      <c r="O39" s="81">
        <v>0</v>
      </c>
      <c r="P39" s="81">
        <v>0</v>
      </c>
      <c r="Q39" s="82">
        <v>0</v>
      </c>
      <c r="R39" s="83">
        <v>0</v>
      </c>
      <c r="S39" s="9"/>
    </row>
    <row r="40" spans="2:19">
      <c r="B40" s="5"/>
      <c r="C40" s="44" t="s">
        <v>71</v>
      </c>
      <c r="D40" s="62"/>
      <c r="E40" s="62"/>
      <c r="F40" s="62"/>
      <c r="G40" s="80">
        <f t="shared" ref="G40:P40" si="10">G35-G39</f>
        <v>107733338.55531417</v>
      </c>
      <c r="H40" s="81">
        <f t="shared" si="10"/>
        <v>20261679.92481643</v>
      </c>
      <c r="I40" s="81">
        <f t="shared" si="10"/>
        <v>130734842.51986939</v>
      </c>
      <c r="J40" s="81">
        <f t="shared" si="10"/>
        <v>309000000</v>
      </c>
      <c r="K40" s="81">
        <f t="shared" si="10"/>
        <v>283000000</v>
      </c>
      <c r="L40" s="81">
        <f t="shared" si="10"/>
        <v>135000000</v>
      </c>
      <c r="M40" s="81">
        <f t="shared" si="10"/>
        <v>60000000</v>
      </c>
      <c r="N40" s="81">
        <f t="shared" si="10"/>
        <v>73000000</v>
      </c>
      <c r="O40" s="81">
        <f t="shared" si="10"/>
        <v>118000000</v>
      </c>
      <c r="P40" s="81">
        <f t="shared" si="10"/>
        <v>25000000</v>
      </c>
      <c r="Q40" s="82">
        <v>12000000</v>
      </c>
      <c r="R40" s="83">
        <v>18000000</v>
      </c>
      <c r="S40" s="9"/>
    </row>
    <row r="41" spans="2:19">
      <c r="B41" s="5"/>
      <c r="C41" s="85" t="s">
        <v>72</v>
      </c>
      <c r="D41" s="62"/>
      <c r="E41" s="62"/>
      <c r="F41" s="62"/>
      <c r="G41" s="75">
        <f>G40/SUM($G$40:$R$40)</f>
        <v>8.3402375224113645E-2</v>
      </c>
      <c r="H41" s="75">
        <f>H40/SUM($G$40:$R$40)</f>
        <v>1.5685694460241661E-2</v>
      </c>
      <c r="I41" s="75">
        <f>I40/SUM($G$40:$R$40)</f>
        <v>0.1012091200080025</v>
      </c>
      <c r="J41" s="75">
        <f>J40/SUM($G$40:$R$40)</f>
        <v>0.23921410298650672</v>
      </c>
      <c r="K41" s="75">
        <f t="shared" ref="K41:M41" si="11">K40/SUM($G$40:$R$40)</f>
        <v>0.21908605548602395</v>
      </c>
      <c r="L41" s="75">
        <f t="shared" si="11"/>
        <v>0.10451101586789129</v>
      </c>
      <c r="M41" s="75">
        <f t="shared" si="11"/>
        <v>4.6449340385729461E-2</v>
      </c>
      <c r="N41" s="75">
        <f>N40/SUM($G$40:$R$40)</f>
        <v>5.6513364135970842E-2</v>
      </c>
      <c r="O41" s="75">
        <f>O40/SUM($G$40:$R$40)</f>
        <v>9.1350369425267933E-2</v>
      </c>
      <c r="P41" s="75">
        <f>P40/SUM($G$40:$R$40)</f>
        <v>1.9353891827387275E-2</v>
      </c>
      <c r="Q41" s="77">
        <f t="shared" ref="Q41:R41" si="12">Q40/SUM($G$40:$R$40)</f>
        <v>9.2898680771458918E-3</v>
      </c>
      <c r="R41" s="78">
        <f t="shared" si="12"/>
        <v>1.3934802115718837E-2</v>
      </c>
      <c r="S41" s="9"/>
    </row>
    <row r="42" spans="2:19">
      <c r="B42" s="5"/>
      <c r="C42" s="85" t="s">
        <v>73</v>
      </c>
      <c r="D42" s="62"/>
      <c r="E42" s="62"/>
      <c r="F42" s="62"/>
      <c r="G42" s="75">
        <v>7.460912603943462E-2</v>
      </c>
      <c r="H42" s="75">
        <v>1.4031925971598355E-2</v>
      </c>
      <c r="I42" s="75">
        <v>9.0538476520919398E-2</v>
      </c>
      <c r="J42" s="75">
        <v>0.21399336784080475</v>
      </c>
      <c r="K42" s="75">
        <v>0.1959874533946529</v>
      </c>
      <c r="L42" s="75">
        <v>9.3492248085788487E-2</v>
      </c>
      <c r="M42" s="75">
        <v>4.1552110260350439E-2</v>
      </c>
      <c r="N42" s="75">
        <v>5.0555067483426364E-2</v>
      </c>
      <c r="O42" s="75">
        <v>8.1719150178689193E-2</v>
      </c>
      <c r="P42" s="75">
        <v>1.7313379275146017E-2</v>
      </c>
      <c r="Q42" s="77">
        <v>8.3104220520700874E-3</v>
      </c>
      <c r="R42" s="78">
        <v>1.2465633078105132E-2</v>
      </c>
      <c r="S42" s="9"/>
    </row>
    <row r="43" spans="2:19">
      <c r="B43" s="5"/>
      <c r="C43" s="86" t="s">
        <v>74</v>
      </c>
      <c r="D43" s="62"/>
      <c r="E43" s="62"/>
      <c r="F43" s="62"/>
      <c r="G43" s="74">
        <f>1-G42-H42-I42</f>
        <v>0.82082047146804771</v>
      </c>
      <c r="H43" s="74">
        <f>1-G42-H42-I42</f>
        <v>0.82082047146804771</v>
      </c>
      <c r="I43" s="74">
        <f>1-G42-H42-I42</f>
        <v>0.82082047146804771</v>
      </c>
      <c r="J43" s="74">
        <f>1-SUM($G$42:$M$42)</f>
        <v>0.27579529188645102</v>
      </c>
      <c r="K43" s="74">
        <f t="shared" ref="K43:M43" si="13">1-SUM($G$42:$M$42)</f>
        <v>0.27579529188645102</v>
      </c>
      <c r="L43" s="74">
        <f t="shared" si="13"/>
        <v>0.27579529188645102</v>
      </c>
      <c r="M43" s="74">
        <f t="shared" si="13"/>
        <v>0.27579529188645102</v>
      </c>
      <c r="N43" s="74">
        <f>1-SUM($G$42:$O$42)</f>
        <v>0.14352107422433558</v>
      </c>
      <c r="O43" s="74">
        <f>1-SUM($G$42:$O$42)</f>
        <v>0.14352107422433558</v>
      </c>
      <c r="P43" s="75">
        <f>1-SUM($G$42:$R$42)</f>
        <v>0.10543163981901438</v>
      </c>
      <c r="Q43" s="77">
        <f t="shared" ref="Q43:R43" si="14">1-SUM($G$42:$R$42)</f>
        <v>0.10543163981901438</v>
      </c>
      <c r="R43" s="78">
        <f t="shared" si="14"/>
        <v>0.10543163981901438</v>
      </c>
      <c r="S43" s="9"/>
    </row>
    <row r="44" spans="2:19">
      <c r="B44" s="5"/>
      <c r="C44" s="44" t="s">
        <v>75</v>
      </c>
      <c r="D44" s="62"/>
      <c r="E44" s="62"/>
      <c r="F44" s="62"/>
      <c r="G44" s="87">
        <v>52366</v>
      </c>
      <c r="H44" s="87">
        <v>52366</v>
      </c>
      <c r="I44" s="87">
        <v>52366</v>
      </c>
      <c r="J44" s="87">
        <v>52366</v>
      </c>
      <c r="K44" s="87">
        <v>52366</v>
      </c>
      <c r="L44" s="87">
        <v>52366</v>
      </c>
      <c r="M44" s="87">
        <v>52366</v>
      </c>
      <c r="N44" s="87">
        <v>52366</v>
      </c>
      <c r="O44" s="87">
        <v>52366</v>
      </c>
      <c r="P44" s="87">
        <v>52366</v>
      </c>
      <c r="Q44" s="88">
        <v>52366</v>
      </c>
      <c r="R44" s="89">
        <v>52366</v>
      </c>
      <c r="S44" s="9"/>
    </row>
    <row r="45" spans="2:19">
      <c r="B45" s="5"/>
      <c r="C45" s="65" t="s">
        <v>76</v>
      </c>
      <c r="D45" s="66"/>
      <c r="E45" s="66"/>
      <c r="F45" s="66"/>
      <c r="G45" s="87">
        <v>45427</v>
      </c>
      <c r="H45" s="87">
        <v>45427</v>
      </c>
      <c r="I45" s="87">
        <v>45427</v>
      </c>
      <c r="J45" s="87">
        <v>46157</v>
      </c>
      <c r="K45" s="87">
        <v>46157</v>
      </c>
      <c r="L45" s="87">
        <v>46157</v>
      </c>
      <c r="M45" s="87">
        <v>46157</v>
      </c>
      <c r="N45" s="87">
        <v>46157</v>
      </c>
      <c r="O45" s="87">
        <v>46157</v>
      </c>
      <c r="P45" s="87">
        <v>46157</v>
      </c>
      <c r="Q45" s="88">
        <v>46157</v>
      </c>
      <c r="R45" s="89">
        <v>46157</v>
      </c>
      <c r="S45" s="9"/>
    </row>
    <row r="46" spans="2:19">
      <c r="B46" s="5"/>
      <c r="C46" s="44" t="s">
        <v>77</v>
      </c>
      <c r="D46" s="62"/>
      <c r="E46" s="62"/>
      <c r="F46" s="62"/>
      <c r="G46" s="75">
        <v>7.4499999999999997E-2</v>
      </c>
      <c r="H46" s="75">
        <f>G46</f>
        <v>7.4499999999999997E-2</v>
      </c>
      <c r="I46" s="75">
        <f t="shared" ref="I46:R46" si="15">H46</f>
        <v>7.4499999999999997E-2</v>
      </c>
      <c r="J46" s="75">
        <f t="shared" si="15"/>
        <v>7.4499999999999997E-2</v>
      </c>
      <c r="K46" s="75">
        <f t="shared" si="15"/>
        <v>7.4499999999999997E-2</v>
      </c>
      <c r="L46" s="75">
        <f t="shared" si="15"/>
        <v>7.4499999999999997E-2</v>
      </c>
      <c r="M46" s="79">
        <f t="shared" si="15"/>
        <v>7.4499999999999997E-2</v>
      </c>
      <c r="N46" s="75">
        <f t="shared" si="15"/>
        <v>7.4499999999999997E-2</v>
      </c>
      <c r="O46" s="75">
        <f t="shared" si="15"/>
        <v>7.4499999999999997E-2</v>
      </c>
      <c r="P46" s="75">
        <f t="shared" si="15"/>
        <v>7.4499999999999997E-2</v>
      </c>
      <c r="Q46" s="77">
        <f t="shared" si="15"/>
        <v>7.4499999999999997E-2</v>
      </c>
      <c r="R46" s="78">
        <f t="shared" si="15"/>
        <v>7.4499999999999997E-2</v>
      </c>
      <c r="S46" s="9"/>
    </row>
    <row r="47" spans="2:19">
      <c r="B47" s="5"/>
      <c r="C47" s="65" t="s">
        <v>78</v>
      </c>
      <c r="D47" s="66"/>
      <c r="E47" s="66"/>
      <c r="F47" s="66"/>
      <c r="G47" s="75">
        <f t="shared" ref="G47" si="16">G46+G27</f>
        <v>0.09</v>
      </c>
      <c r="H47" s="75">
        <f>H46+H27</f>
        <v>9.1499999999999998E-2</v>
      </c>
      <c r="I47" s="75">
        <f t="shared" ref="I47:L47" si="17">I46+I27</f>
        <v>8.9499999999999996E-2</v>
      </c>
      <c r="J47" s="75">
        <f t="shared" si="17"/>
        <v>9.6500000000000002E-2</v>
      </c>
      <c r="K47" s="75">
        <f t="shared" si="17"/>
        <v>9.8000000000000004E-2</v>
      </c>
      <c r="L47" s="75">
        <f t="shared" si="17"/>
        <v>9.9500000000000005E-2</v>
      </c>
      <c r="M47" s="79">
        <f>M30</f>
        <v>0.10235</v>
      </c>
      <c r="N47" s="75">
        <f t="shared" ref="N47:R47" si="18">N46+N27</f>
        <v>9.9500000000000005E-2</v>
      </c>
      <c r="O47" s="75">
        <f t="shared" si="18"/>
        <v>0.10189999999999999</v>
      </c>
      <c r="P47" s="75">
        <f t="shared" si="18"/>
        <v>0.11249999999999999</v>
      </c>
      <c r="Q47" s="77">
        <f t="shared" si="18"/>
        <v>0.11449999999999999</v>
      </c>
      <c r="R47" s="78">
        <f t="shared" si="18"/>
        <v>0.11149999999999999</v>
      </c>
      <c r="S47" s="9"/>
    </row>
    <row r="48" spans="2:19">
      <c r="B48" s="5"/>
      <c r="C48" s="44" t="s">
        <v>79</v>
      </c>
      <c r="D48" s="62"/>
      <c r="E48" s="62"/>
      <c r="F48" s="62"/>
      <c r="G48" s="90" t="s">
        <v>80</v>
      </c>
      <c r="H48" s="90" t="s">
        <v>80</v>
      </c>
      <c r="I48" s="90" t="s">
        <v>80</v>
      </c>
      <c r="J48" s="90" t="s">
        <v>81</v>
      </c>
      <c r="K48" s="90" t="s">
        <v>81</v>
      </c>
      <c r="L48" s="90" t="s">
        <v>81</v>
      </c>
      <c r="M48" s="90" t="s">
        <v>81</v>
      </c>
      <c r="N48" s="90" t="s">
        <v>349</v>
      </c>
      <c r="O48" s="90" t="s">
        <v>349</v>
      </c>
      <c r="P48" s="90" t="s">
        <v>82</v>
      </c>
      <c r="Q48" s="91" t="s">
        <v>82</v>
      </c>
      <c r="R48" s="92" t="s">
        <v>82</v>
      </c>
      <c r="S48" s="9"/>
    </row>
    <row r="49" spans="2:28" ht="15.75" thickBot="1">
      <c r="B49" s="5"/>
      <c r="C49" s="93" t="s">
        <v>83</v>
      </c>
      <c r="D49" s="94"/>
      <c r="E49" s="94"/>
      <c r="F49" s="94"/>
      <c r="G49" s="95" t="str">
        <f t="shared" ref="G49:R49" si="19">G48</f>
        <v>AAA(za)(sf)</v>
      </c>
      <c r="H49" s="95" t="str">
        <f t="shared" si="19"/>
        <v>AAA(za)(sf)</v>
      </c>
      <c r="I49" s="95" t="str">
        <f>I48</f>
        <v>AAA(za)(sf)</v>
      </c>
      <c r="J49" s="95" t="str">
        <f t="shared" si="19"/>
        <v>AA+(za)(sf)</v>
      </c>
      <c r="K49" s="95" t="str">
        <f t="shared" si="19"/>
        <v>AA+(za)(sf)</v>
      </c>
      <c r="L49" s="95" t="str">
        <f t="shared" si="19"/>
        <v>AA+(za)(sf)</v>
      </c>
      <c r="M49" s="95" t="str">
        <f t="shared" si="19"/>
        <v>AA+(za)(sf)</v>
      </c>
      <c r="N49" s="95" t="s">
        <v>84</v>
      </c>
      <c r="O49" s="95" t="s">
        <v>84</v>
      </c>
      <c r="P49" s="95" t="str">
        <f t="shared" si="19"/>
        <v>BBB(za)(sf)</v>
      </c>
      <c r="Q49" s="96" t="s">
        <v>82</v>
      </c>
      <c r="R49" s="97" t="str">
        <f t="shared" si="19"/>
        <v>BBB(za)(sf)</v>
      </c>
      <c r="S49" s="9"/>
    </row>
    <row r="50" spans="2:28" ht="15.75" thickBot="1">
      <c r="B50" s="5"/>
      <c r="C50" s="13"/>
      <c r="D50" s="13"/>
      <c r="E50" s="13"/>
      <c r="F50" s="13"/>
      <c r="G50" s="13"/>
      <c r="H50" s="13"/>
      <c r="I50" s="13"/>
      <c r="J50" s="13"/>
      <c r="K50" s="13"/>
      <c r="L50" s="13"/>
      <c r="M50" s="13"/>
      <c r="N50" s="13"/>
      <c r="O50" s="13"/>
      <c r="P50" s="13"/>
      <c r="Q50" s="13"/>
      <c r="R50" s="13"/>
      <c r="S50" s="9"/>
      <c r="U50" s="53"/>
    </row>
    <row r="51" spans="2:28">
      <c r="B51" s="5"/>
      <c r="C51" s="98" t="s">
        <v>85</v>
      </c>
      <c r="D51" s="99"/>
      <c r="E51" s="99"/>
      <c r="F51" s="99"/>
      <c r="G51" s="99"/>
      <c r="H51" s="99"/>
      <c r="I51" s="99"/>
      <c r="J51" s="99"/>
      <c r="K51" s="99"/>
      <c r="L51" s="99"/>
      <c r="M51" s="99"/>
      <c r="N51" s="99"/>
      <c r="O51" s="99"/>
      <c r="P51" s="99"/>
      <c r="Q51" s="99"/>
      <c r="R51" s="100"/>
      <c r="S51" s="9"/>
    </row>
    <row r="52" spans="2:28">
      <c r="B52" s="5"/>
      <c r="C52" s="101" t="s">
        <v>86</v>
      </c>
      <c r="D52" s="102"/>
      <c r="E52" s="102"/>
      <c r="F52" s="102"/>
      <c r="G52" s="102"/>
      <c r="H52" s="102"/>
      <c r="I52" s="102"/>
      <c r="J52" s="102"/>
      <c r="K52" s="102"/>
      <c r="L52" s="102"/>
      <c r="M52" s="102"/>
      <c r="N52" s="102"/>
      <c r="O52" s="102"/>
      <c r="P52" s="102"/>
      <c r="Q52" s="102"/>
      <c r="R52" s="103"/>
      <c r="S52" s="9"/>
      <c r="Y52" s="104"/>
    </row>
    <row r="53" spans="2:28">
      <c r="B53" s="5"/>
      <c r="C53" s="105" t="s">
        <v>87</v>
      </c>
      <c r="D53" s="106"/>
      <c r="E53" s="106"/>
      <c r="F53" s="106"/>
      <c r="G53" s="106"/>
      <c r="H53" s="106"/>
      <c r="I53" s="106"/>
      <c r="J53" s="106"/>
      <c r="K53" s="106"/>
      <c r="L53" s="106"/>
      <c r="M53" s="106"/>
      <c r="N53" s="106"/>
      <c r="O53" s="107"/>
      <c r="P53" s="108">
        <v>67709553.034592032</v>
      </c>
      <c r="Q53" s="109"/>
      <c r="R53" s="110"/>
      <c r="S53" s="9"/>
      <c r="U53" s="104"/>
      <c r="V53" s="111"/>
      <c r="X53" s="104"/>
      <c r="Y53" s="104"/>
      <c r="Z53" s="104"/>
      <c r="AA53" s="104"/>
      <c r="AB53" s="111"/>
    </row>
    <row r="54" spans="2:28">
      <c r="B54" s="5"/>
      <c r="C54" s="44" t="s">
        <v>88</v>
      </c>
      <c r="D54" s="62"/>
      <c r="E54" s="62"/>
      <c r="F54" s="62"/>
      <c r="G54" s="62"/>
      <c r="H54" s="62"/>
      <c r="I54" s="62"/>
      <c r="J54" s="62"/>
      <c r="K54" s="62"/>
      <c r="L54" s="62"/>
      <c r="M54" s="62"/>
      <c r="N54" s="62"/>
      <c r="O54" s="112"/>
      <c r="P54" s="108">
        <v>33316046.129999999</v>
      </c>
      <c r="Q54" s="109"/>
      <c r="R54" s="110"/>
      <c r="S54" s="9"/>
      <c r="V54" s="53"/>
    </row>
    <row r="55" spans="2:28">
      <c r="B55" s="5"/>
      <c r="C55" s="105" t="s">
        <v>89</v>
      </c>
      <c r="D55" s="106"/>
      <c r="E55" s="106"/>
      <c r="F55" s="106"/>
      <c r="G55" s="106"/>
      <c r="H55" s="106"/>
      <c r="I55" s="106"/>
      <c r="J55" s="106"/>
      <c r="K55" s="106"/>
      <c r="L55" s="106"/>
      <c r="M55" s="106"/>
      <c r="N55" s="106"/>
      <c r="O55" s="106"/>
      <c r="P55" s="113">
        <f>SUM(J56:P58)</f>
        <v>9723837.1590920389</v>
      </c>
      <c r="Q55" s="114"/>
      <c r="R55" s="115"/>
      <c r="S55" s="9"/>
      <c r="V55" s="53"/>
    </row>
    <row r="56" spans="2:28">
      <c r="B56" s="5"/>
      <c r="C56" s="86" t="s">
        <v>90</v>
      </c>
      <c r="D56" s="66"/>
      <c r="E56" s="66"/>
      <c r="F56" s="66"/>
      <c r="G56" s="66"/>
      <c r="H56" s="66"/>
      <c r="I56" s="66"/>
      <c r="J56" s="66"/>
      <c r="K56" s="66"/>
      <c r="L56" s="66"/>
      <c r="M56" s="66"/>
      <c r="N56" s="66"/>
      <c r="O56" s="66"/>
      <c r="P56" s="116">
        <f>P53-P54-Q58</f>
        <v>9723837.1590920389</v>
      </c>
      <c r="Q56" s="117"/>
      <c r="R56" s="118"/>
      <c r="S56" s="9"/>
    </row>
    <row r="57" spans="2:28">
      <c r="B57" s="5"/>
      <c r="C57" s="86" t="s">
        <v>91</v>
      </c>
      <c r="D57" s="66"/>
      <c r="E57" s="66"/>
      <c r="F57" s="66"/>
      <c r="G57" s="66"/>
      <c r="H57" s="66"/>
      <c r="I57" s="66"/>
      <c r="J57" s="66"/>
      <c r="K57" s="66"/>
      <c r="L57" s="66"/>
      <c r="M57" s="66"/>
      <c r="N57" s="66"/>
      <c r="O57" s="66"/>
      <c r="P57" s="119"/>
      <c r="Q57" s="120">
        <v>0</v>
      </c>
      <c r="R57" s="9"/>
      <c r="S57" s="9"/>
    </row>
    <row r="58" spans="2:28">
      <c r="B58" s="5"/>
      <c r="C58" s="86" t="s">
        <v>92</v>
      </c>
      <c r="D58" s="66"/>
      <c r="E58" s="66"/>
      <c r="F58" s="66"/>
      <c r="G58" s="66"/>
      <c r="H58" s="66"/>
      <c r="I58" s="66"/>
      <c r="J58" s="66"/>
      <c r="K58" s="66"/>
      <c r="L58" s="66"/>
      <c r="M58" s="66"/>
      <c r="N58" s="66"/>
      <c r="O58" s="66"/>
      <c r="P58" s="121"/>
      <c r="Q58" s="122">
        <v>24669669.745499998</v>
      </c>
      <c r="R58" s="9"/>
      <c r="S58" s="9"/>
    </row>
    <row r="59" spans="2:28">
      <c r="B59" s="5"/>
      <c r="C59" s="101" t="s">
        <v>93</v>
      </c>
      <c r="D59" s="102"/>
      <c r="E59" s="102"/>
      <c r="F59" s="102"/>
      <c r="G59" s="102"/>
      <c r="H59" s="102"/>
      <c r="I59" s="102"/>
      <c r="J59" s="102"/>
      <c r="K59" s="102"/>
      <c r="L59" s="102"/>
      <c r="M59" s="102"/>
      <c r="N59" s="102"/>
      <c r="O59" s="102"/>
      <c r="P59" s="102"/>
      <c r="Q59" s="102"/>
      <c r="R59" s="103"/>
      <c r="S59" s="9"/>
    </row>
    <row r="60" spans="2:28">
      <c r="B60" s="5"/>
      <c r="C60" s="105" t="s">
        <v>94</v>
      </c>
      <c r="D60" s="106"/>
      <c r="E60" s="106"/>
      <c r="F60" s="106"/>
      <c r="G60" s="106"/>
      <c r="H60" s="106"/>
      <c r="I60" s="106"/>
      <c r="J60" s="106"/>
      <c r="K60" s="106"/>
      <c r="L60" s="106"/>
      <c r="M60" s="106"/>
      <c r="N60" s="106"/>
      <c r="O60" s="106"/>
      <c r="P60" s="113">
        <f>SUM(K61:Q62)</f>
        <v>367491741.43772799</v>
      </c>
      <c r="Q60" s="114"/>
      <c r="R60" s="115"/>
      <c r="S60" s="9"/>
    </row>
    <row r="61" spans="2:28">
      <c r="B61" s="5"/>
      <c r="C61" s="86" t="s">
        <v>95</v>
      </c>
      <c r="D61" s="66"/>
      <c r="E61" s="66"/>
      <c r="F61" s="66"/>
      <c r="G61" s="66"/>
      <c r="H61" s="66"/>
      <c r="I61" s="66"/>
      <c r="J61" s="66"/>
      <c r="K61" s="66"/>
      <c r="L61" s="66"/>
      <c r="M61" s="66"/>
      <c r="N61" s="66"/>
      <c r="O61" s="66"/>
      <c r="P61" s="119"/>
      <c r="Q61" s="120">
        <v>363000000</v>
      </c>
      <c r="R61" s="123"/>
      <c r="S61" s="9"/>
    </row>
    <row r="62" spans="2:28">
      <c r="B62" s="5"/>
      <c r="C62" s="86" t="s">
        <v>96</v>
      </c>
      <c r="D62" s="66"/>
      <c r="E62" s="66"/>
      <c r="F62" s="66"/>
      <c r="G62" s="66"/>
      <c r="H62" s="66"/>
      <c r="I62" s="66"/>
      <c r="J62" s="66"/>
      <c r="K62" s="66"/>
      <c r="L62" s="66"/>
      <c r="M62" s="66"/>
      <c r="N62" s="66"/>
      <c r="O62" s="66"/>
      <c r="P62" s="121"/>
      <c r="Q62" s="122">
        <v>4491741.4377279878</v>
      </c>
      <c r="R62" s="123"/>
      <c r="S62" s="9"/>
    </row>
    <row r="63" spans="2:28">
      <c r="B63" s="5"/>
      <c r="C63" s="105" t="s">
        <v>97</v>
      </c>
      <c r="D63" s="106"/>
      <c r="E63" s="106"/>
      <c r="F63" s="106"/>
      <c r="G63" s="106"/>
      <c r="H63" s="106"/>
      <c r="I63" s="106"/>
      <c r="J63" s="106"/>
      <c r="K63" s="106"/>
      <c r="L63" s="106"/>
      <c r="M63" s="106"/>
      <c r="N63" s="106"/>
      <c r="O63" s="107"/>
      <c r="P63" s="124">
        <f>SUM(J64:Q65)</f>
        <v>1856863.2299999997</v>
      </c>
      <c r="Q63" s="124"/>
      <c r="R63" s="125"/>
      <c r="S63" s="9"/>
      <c r="V63" s="53"/>
    </row>
    <row r="64" spans="2:28">
      <c r="B64" s="5"/>
      <c r="C64" s="86" t="s">
        <v>98</v>
      </c>
      <c r="D64" s="66"/>
      <c r="E64" s="66"/>
      <c r="F64" s="66"/>
      <c r="G64" s="66"/>
      <c r="H64" s="66"/>
      <c r="I64" s="66"/>
      <c r="J64" s="66"/>
      <c r="K64" s="66"/>
      <c r="L64" s="66"/>
      <c r="M64" s="66"/>
      <c r="N64" s="66"/>
      <c r="O64" s="126"/>
      <c r="P64" s="119"/>
      <c r="Q64" s="120">
        <v>4369.45</v>
      </c>
      <c r="R64" s="123"/>
      <c r="S64" s="9"/>
    </row>
    <row r="65" spans="2:22">
      <c r="B65" s="5"/>
      <c r="C65" s="127" t="s">
        <v>99</v>
      </c>
      <c r="D65" s="128"/>
      <c r="E65" s="128"/>
      <c r="F65" s="128"/>
      <c r="G65" s="128"/>
      <c r="H65" s="128"/>
      <c r="I65" s="128"/>
      <c r="J65" s="128"/>
      <c r="K65" s="128"/>
      <c r="L65" s="128"/>
      <c r="M65" s="128"/>
      <c r="N65" s="128"/>
      <c r="O65" s="129"/>
      <c r="P65" s="121"/>
      <c r="Q65" s="122">
        <v>1852493.7799999998</v>
      </c>
      <c r="R65" s="123"/>
      <c r="S65" s="9"/>
    </row>
    <row r="66" spans="2:22">
      <c r="B66" s="5"/>
      <c r="C66" s="105" t="s">
        <v>100</v>
      </c>
      <c r="D66" s="106"/>
      <c r="E66" s="106"/>
      <c r="F66" s="106"/>
      <c r="G66" s="106"/>
      <c r="H66" s="106"/>
      <c r="I66" s="106"/>
      <c r="J66" s="106"/>
      <c r="K66" s="106"/>
      <c r="L66" s="106"/>
      <c r="M66" s="106"/>
      <c r="N66" s="106"/>
      <c r="O66" s="107"/>
      <c r="P66" s="130">
        <f>SUM(Q67:Q69,Q72,Q75:Q76)</f>
        <v>76340907.550000012</v>
      </c>
      <c r="Q66" s="124"/>
      <c r="R66" s="125"/>
      <c r="S66" s="9"/>
      <c r="V66" s="53"/>
    </row>
    <row r="67" spans="2:22">
      <c r="B67" s="5"/>
      <c r="C67" s="86" t="s">
        <v>101</v>
      </c>
      <c r="D67" s="66"/>
      <c r="E67" s="66"/>
      <c r="F67" s="66"/>
      <c r="G67" s="66"/>
      <c r="H67" s="66"/>
      <c r="I67" s="66"/>
      <c r="J67" s="66"/>
      <c r="K67" s="66"/>
      <c r="L67" s="66"/>
      <c r="M67" s="66"/>
      <c r="N67" s="66"/>
      <c r="O67" s="126"/>
      <c r="P67" s="119"/>
      <c r="Q67" s="120">
        <f>'Servicer Report'!J39</f>
        <v>10642717.949354837</v>
      </c>
      <c r="R67" s="131"/>
      <c r="S67" s="9"/>
    </row>
    <row r="68" spans="2:22">
      <c r="B68" s="5"/>
      <c r="C68" s="86" t="s">
        <v>102</v>
      </c>
      <c r="D68" s="66"/>
      <c r="E68" s="66"/>
      <c r="F68" s="66"/>
      <c r="G68" s="66"/>
      <c r="H68" s="66"/>
      <c r="I68" s="66"/>
      <c r="J68" s="66"/>
      <c r="K68" s="66"/>
      <c r="L68" s="66"/>
      <c r="M68" s="66"/>
      <c r="N68" s="66"/>
      <c r="O68" s="126"/>
      <c r="P68" s="119"/>
      <c r="Q68" s="120">
        <f>'Servicer Report'!J42</f>
        <v>31356684.550000001</v>
      </c>
      <c r="R68" s="131"/>
      <c r="S68" s="9"/>
    </row>
    <row r="69" spans="2:22">
      <c r="B69" s="5"/>
      <c r="C69" s="86" t="s">
        <v>103</v>
      </c>
      <c r="D69" s="66"/>
      <c r="E69" s="66"/>
      <c r="F69" s="66"/>
      <c r="G69" s="66"/>
      <c r="H69" s="66"/>
      <c r="I69" s="66"/>
      <c r="J69" s="66"/>
      <c r="K69" s="66"/>
      <c r="L69" s="66"/>
      <c r="M69" s="66"/>
      <c r="N69" s="66"/>
      <c r="O69" s="126"/>
      <c r="P69" s="119"/>
      <c r="Q69" s="120">
        <f>SUM(J70:O71)</f>
        <v>0</v>
      </c>
      <c r="R69" s="131"/>
      <c r="S69" s="9"/>
    </row>
    <row r="70" spans="2:22">
      <c r="B70" s="5"/>
      <c r="C70" s="132" t="s">
        <v>104</v>
      </c>
      <c r="D70" s="66"/>
      <c r="E70" s="66"/>
      <c r="F70" s="66"/>
      <c r="G70" s="66"/>
      <c r="H70" s="66"/>
      <c r="I70" s="66"/>
      <c r="J70" s="66"/>
      <c r="K70" s="66"/>
      <c r="L70" s="66"/>
      <c r="M70" s="66"/>
      <c r="N70" s="66"/>
      <c r="O70" s="126"/>
      <c r="P70" s="119">
        <v>0</v>
      </c>
      <c r="Q70" s="133"/>
      <c r="R70" s="131"/>
      <c r="S70" s="9"/>
    </row>
    <row r="71" spans="2:22">
      <c r="B71" s="5"/>
      <c r="C71" s="132" t="s">
        <v>105</v>
      </c>
      <c r="D71" s="66"/>
      <c r="E71" s="66"/>
      <c r="F71" s="66"/>
      <c r="G71" s="66"/>
      <c r="H71" s="66"/>
      <c r="I71" s="66"/>
      <c r="J71" s="66"/>
      <c r="K71" s="66"/>
      <c r="L71" s="66"/>
      <c r="M71" s="66"/>
      <c r="N71" s="66"/>
      <c r="O71" s="126"/>
      <c r="P71" s="119">
        <v>0</v>
      </c>
      <c r="Q71" s="133"/>
      <c r="R71" s="131"/>
      <c r="S71" s="9"/>
    </row>
    <row r="72" spans="2:22">
      <c r="B72" s="5"/>
      <c r="C72" s="86" t="s">
        <v>106</v>
      </c>
      <c r="D72" s="66"/>
      <c r="E72" s="66"/>
      <c r="F72" s="66"/>
      <c r="G72" s="66"/>
      <c r="H72" s="66"/>
      <c r="I72" s="66"/>
      <c r="J72" s="66"/>
      <c r="K72" s="66"/>
      <c r="L72" s="66"/>
      <c r="M72" s="66"/>
      <c r="N72" s="66"/>
      <c r="O72" s="126"/>
      <c r="P72" s="119"/>
      <c r="Q72" s="120">
        <f>SUM(J73:O74)</f>
        <v>0</v>
      </c>
      <c r="R72" s="131"/>
      <c r="S72" s="9"/>
    </row>
    <row r="73" spans="2:22">
      <c r="B73" s="5"/>
      <c r="C73" s="132" t="s">
        <v>104</v>
      </c>
      <c r="D73" s="66"/>
      <c r="E73" s="66"/>
      <c r="F73" s="66"/>
      <c r="G73" s="66"/>
      <c r="H73" s="66"/>
      <c r="I73" s="66"/>
      <c r="J73" s="66"/>
      <c r="K73" s="66"/>
      <c r="L73" s="66"/>
      <c r="M73" s="66"/>
      <c r="N73" s="66"/>
      <c r="O73" s="126"/>
      <c r="P73" s="119">
        <v>0</v>
      </c>
      <c r="Q73" s="133"/>
      <c r="R73" s="131"/>
      <c r="S73" s="9"/>
    </row>
    <row r="74" spans="2:22">
      <c r="B74" s="5"/>
      <c r="C74" s="132" t="s">
        <v>105</v>
      </c>
      <c r="D74" s="66"/>
      <c r="E74" s="66"/>
      <c r="F74" s="66"/>
      <c r="G74" s="66"/>
      <c r="H74" s="66"/>
      <c r="I74" s="66"/>
      <c r="J74" s="66"/>
      <c r="K74" s="66"/>
      <c r="L74" s="66"/>
      <c r="M74" s="66"/>
      <c r="N74" s="66"/>
      <c r="O74" s="126"/>
      <c r="P74" s="119">
        <v>0</v>
      </c>
      <c r="Q74" s="133"/>
      <c r="R74" s="131"/>
      <c r="S74" s="9"/>
    </row>
    <row r="75" spans="2:22">
      <c r="B75" s="5"/>
      <c r="C75" s="86" t="s">
        <v>107</v>
      </c>
      <c r="D75" s="66"/>
      <c r="E75" s="66"/>
      <c r="F75" s="66"/>
      <c r="G75" s="66"/>
      <c r="H75" s="66"/>
      <c r="I75" s="66"/>
      <c r="J75" s="66"/>
      <c r="K75" s="66"/>
      <c r="L75" s="66"/>
      <c r="M75" s="66"/>
      <c r="N75" s="66"/>
      <c r="O75" s="126"/>
      <c r="P75" s="119"/>
      <c r="Q75" s="120">
        <f>'Servicer Report'!J46</f>
        <v>0</v>
      </c>
      <c r="R75" s="131"/>
      <c r="S75" s="9"/>
    </row>
    <row r="76" spans="2:22">
      <c r="B76" s="5"/>
      <c r="C76" s="86" t="s">
        <v>108</v>
      </c>
      <c r="D76" s="66"/>
      <c r="E76" s="66"/>
      <c r="F76" s="66"/>
      <c r="G76" s="66"/>
      <c r="H76" s="66"/>
      <c r="I76" s="66"/>
      <c r="J76" s="66"/>
      <c r="K76" s="66"/>
      <c r="L76" s="66"/>
      <c r="M76" s="66"/>
      <c r="N76" s="66"/>
      <c r="O76" s="126"/>
      <c r="P76" s="119"/>
      <c r="Q76" s="120">
        <f>'Servicer Report'!J40</f>
        <v>34341505.050645173</v>
      </c>
      <c r="R76" s="131"/>
      <c r="S76" s="9"/>
    </row>
    <row r="77" spans="2:22">
      <c r="B77" s="5"/>
      <c r="C77" s="86" t="s">
        <v>109</v>
      </c>
      <c r="D77" s="66"/>
      <c r="E77" s="66"/>
      <c r="F77" s="66"/>
      <c r="G77" s="66"/>
      <c r="H77" s="66"/>
      <c r="I77" s="66"/>
      <c r="J77" s="66"/>
      <c r="K77" s="66"/>
      <c r="L77" s="66"/>
      <c r="M77" s="66"/>
      <c r="N77" s="66"/>
      <c r="O77" s="126"/>
      <c r="P77" s="119">
        <f>'Servicer Report'!J41</f>
        <v>0</v>
      </c>
      <c r="Q77" s="120"/>
      <c r="R77" s="131"/>
      <c r="S77" s="9"/>
    </row>
    <row r="78" spans="2:22">
      <c r="B78" s="5"/>
      <c r="C78" s="127" t="s">
        <v>110</v>
      </c>
      <c r="D78" s="128"/>
      <c r="E78" s="128"/>
      <c r="F78" s="128"/>
      <c r="G78" s="128"/>
      <c r="H78" s="128"/>
      <c r="I78" s="128"/>
      <c r="J78" s="128"/>
      <c r="K78" s="128"/>
      <c r="L78" s="128"/>
      <c r="M78" s="128"/>
      <c r="N78" s="128"/>
      <c r="O78" s="129"/>
      <c r="P78" s="119">
        <v>656108.88</v>
      </c>
      <c r="Q78" s="120"/>
      <c r="R78" s="134"/>
      <c r="S78" s="9"/>
    </row>
    <row r="79" spans="2:22">
      <c r="B79" s="5"/>
      <c r="C79" s="135" t="s">
        <v>111</v>
      </c>
      <c r="D79" s="106"/>
      <c r="E79" s="106"/>
      <c r="F79" s="106"/>
      <c r="G79" s="106"/>
      <c r="H79" s="106"/>
      <c r="I79" s="106"/>
      <c r="J79" s="106"/>
      <c r="K79" s="106"/>
      <c r="L79" s="106"/>
      <c r="M79" s="106"/>
      <c r="N79" s="106"/>
      <c r="O79" s="107"/>
      <c r="P79" s="109">
        <f>-('Servicer Report'!J28-'Servicer Report'!J47)</f>
        <v>0</v>
      </c>
      <c r="Q79" s="109"/>
      <c r="R79" s="110"/>
      <c r="S79" s="9"/>
    </row>
    <row r="80" spans="2:22">
      <c r="B80" s="5"/>
      <c r="C80" s="101" t="s">
        <v>112</v>
      </c>
      <c r="D80" s="102"/>
      <c r="E80" s="102"/>
      <c r="F80" s="102"/>
      <c r="G80" s="102"/>
      <c r="H80" s="102"/>
      <c r="I80" s="102"/>
      <c r="J80" s="102"/>
      <c r="K80" s="102"/>
      <c r="L80" s="102"/>
      <c r="M80" s="102"/>
      <c r="N80" s="102"/>
      <c r="O80" s="102"/>
      <c r="P80" s="102"/>
      <c r="Q80" s="102"/>
      <c r="R80" s="103"/>
      <c r="S80" s="9"/>
    </row>
    <row r="81" spans="2:24">
      <c r="B81" s="5"/>
      <c r="C81" s="135" t="s">
        <v>113</v>
      </c>
      <c r="D81" s="106"/>
      <c r="E81" s="106"/>
      <c r="F81" s="106"/>
      <c r="G81" s="106"/>
      <c r="H81" s="106"/>
      <c r="I81" s="106"/>
      <c r="J81" s="106"/>
      <c r="K81" s="106"/>
      <c r="L81" s="106"/>
      <c r="M81" s="106"/>
      <c r="N81" s="106"/>
      <c r="O81" s="106"/>
      <c r="P81" s="113">
        <f>SUM(P82:Q84,P87:Q90)</f>
        <v>363992495.49000007</v>
      </c>
      <c r="Q81" s="114"/>
      <c r="R81" s="115"/>
      <c r="S81" s="9"/>
      <c r="T81" s="111"/>
      <c r="U81" s="136"/>
    </row>
    <row r="82" spans="2:24">
      <c r="B82" s="5"/>
      <c r="C82" s="86" t="s">
        <v>114</v>
      </c>
      <c r="D82" s="66"/>
      <c r="E82" s="66"/>
      <c r="F82" s="66"/>
      <c r="G82" s="66"/>
      <c r="H82" s="66"/>
      <c r="I82" s="66"/>
      <c r="J82" s="66"/>
      <c r="K82" s="66"/>
      <c r="L82" s="66"/>
      <c r="M82" s="66"/>
      <c r="N82" s="66"/>
      <c r="O82" s="66"/>
      <c r="P82" s="116">
        <v>0</v>
      </c>
      <c r="Q82" s="117"/>
      <c r="R82" s="137"/>
      <c r="S82" s="9"/>
    </row>
    <row r="83" spans="2:24">
      <c r="B83" s="5"/>
      <c r="C83" s="86" t="s">
        <v>115</v>
      </c>
      <c r="D83" s="66"/>
      <c r="E83" s="66"/>
      <c r="F83" s="66"/>
      <c r="G83" s="66"/>
      <c r="H83" s="66"/>
      <c r="I83" s="66"/>
      <c r="J83" s="66"/>
      <c r="K83" s="66"/>
      <c r="L83" s="66"/>
      <c r="M83" s="66"/>
      <c r="N83" s="66"/>
      <c r="O83" s="66"/>
      <c r="P83" s="138">
        <v>0</v>
      </c>
      <c r="Q83" s="139"/>
      <c r="R83" s="137"/>
      <c r="S83" s="9"/>
    </row>
    <row r="84" spans="2:24">
      <c r="B84" s="5"/>
      <c r="C84" s="86" t="s">
        <v>116</v>
      </c>
      <c r="D84" s="66"/>
      <c r="E84" s="66"/>
      <c r="F84" s="66"/>
      <c r="G84" s="66"/>
      <c r="H84" s="66"/>
      <c r="I84" s="66"/>
      <c r="J84" s="66"/>
      <c r="K84" s="66"/>
      <c r="L84" s="66"/>
      <c r="M84" s="66"/>
      <c r="N84" s="66"/>
      <c r="O84" s="66"/>
      <c r="P84" s="116">
        <f>SUM(P85:P86)</f>
        <v>359379806.36000007</v>
      </c>
      <c r="Q84" s="117"/>
      <c r="R84" s="137"/>
      <c r="S84" s="9"/>
    </row>
    <row r="85" spans="2:24">
      <c r="B85" s="5"/>
      <c r="C85" s="132" t="s">
        <v>117</v>
      </c>
      <c r="D85" s="66"/>
      <c r="E85" s="66"/>
      <c r="F85" s="66"/>
      <c r="G85" s="66"/>
      <c r="H85" s="66"/>
      <c r="I85" s="66"/>
      <c r="J85" s="66"/>
      <c r="K85" s="66"/>
      <c r="L85" s="66"/>
      <c r="M85" s="66"/>
      <c r="N85" s="66"/>
      <c r="O85" s="66"/>
      <c r="P85" s="119">
        <f>'Servicer Report'!J27</f>
        <v>359379806.36000007</v>
      </c>
      <c r="Q85" s="140"/>
      <c r="R85" s="137"/>
      <c r="S85" s="9"/>
    </row>
    <row r="86" spans="2:24">
      <c r="B86" s="5"/>
      <c r="C86" s="132" t="s">
        <v>118</v>
      </c>
      <c r="D86" s="66"/>
      <c r="E86" s="66"/>
      <c r="F86" s="66"/>
      <c r="G86" s="66"/>
      <c r="H86" s="66"/>
      <c r="I86" s="66"/>
      <c r="J86" s="66"/>
      <c r="K86" s="66"/>
      <c r="L86" s="66"/>
      <c r="M86" s="66"/>
      <c r="N86" s="66"/>
      <c r="O86" s="66"/>
      <c r="P86" s="119">
        <v>0</v>
      </c>
      <c r="Q86" s="141"/>
      <c r="R86" s="137"/>
      <c r="S86" s="9"/>
    </row>
    <row r="87" spans="2:24">
      <c r="B87" s="5"/>
      <c r="C87" s="86" t="s">
        <v>119</v>
      </c>
      <c r="D87" s="66"/>
      <c r="E87" s="66"/>
      <c r="F87" s="66"/>
      <c r="G87" s="66"/>
      <c r="H87" s="66"/>
      <c r="I87" s="66"/>
      <c r="J87" s="66"/>
      <c r="K87" s="66"/>
      <c r="L87" s="66"/>
      <c r="M87" s="66"/>
      <c r="N87" s="66"/>
      <c r="O87" s="66"/>
      <c r="P87" s="116">
        <f>'Servicer Report'!J30</f>
        <v>4612689.13</v>
      </c>
      <c r="Q87" s="117"/>
      <c r="R87" s="137"/>
      <c r="S87" s="9"/>
    </row>
    <row r="88" spans="2:24">
      <c r="B88" s="5"/>
      <c r="C88" s="86" t="s">
        <v>120</v>
      </c>
      <c r="D88" s="66"/>
      <c r="E88" s="66"/>
      <c r="F88" s="66"/>
      <c r="G88" s="66"/>
      <c r="H88" s="66"/>
      <c r="I88" s="66"/>
      <c r="J88" s="66"/>
      <c r="K88" s="66"/>
      <c r="L88" s="66"/>
      <c r="M88" s="66"/>
      <c r="N88" s="66"/>
      <c r="O88" s="66"/>
      <c r="P88" s="116">
        <v>0</v>
      </c>
      <c r="Q88" s="117"/>
      <c r="R88" s="137"/>
      <c r="S88" s="9"/>
    </row>
    <row r="89" spans="2:24">
      <c r="B89" s="5"/>
      <c r="C89" s="86" t="s">
        <v>121</v>
      </c>
      <c r="D89" s="66"/>
      <c r="E89" s="66"/>
      <c r="F89" s="66"/>
      <c r="G89" s="66"/>
      <c r="H89" s="66"/>
      <c r="I89" s="66"/>
      <c r="J89" s="66"/>
      <c r="K89" s="66"/>
      <c r="L89" s="66"/>
      <c r="M89" s="66"/>
      <c r="N89" s="66"/>
      <c r="O89" s="66"/>
      <c r="P89" s="116">
        <v>0</v>
      </c>
      <c r="Q89" s="117"/>
      <c r="R89" s="137"/>
      <c r="S89" s="9"/>
    </row>
    <row r="90" spans="2:24">
      <c r="B90" s="5"/>
      <c r="C90" s="127" t="s">
        <v>122</v>
      </c>
      <c r="D90" s="128"/>
      <c r="E90" s="128"/>
      <c r="F90" s="128"/>
      <c r="G90" s="128"/>
      <c r="H90" s="128"/>
      <c r="I90" s="128"/>
      <c r="J90" s="128"/>
      <c r="K90" s="128"/>
      <c r="L90" s="128"/>
      <c r="M90" s="128"/>
      <c r="N90" s="128"/>
      <c r="O90" s="128"/>
      <c r="P90" s="142">
        <v>0</v>
      </c>
      <c r="Q90" s="143"/>
      <c r="R90" s="144"/>
      <c r="S90" s="9"/>
    </row>
    <row r="91" spans="2:24">
      <c r="B91" s="5"/>
      <c r="C91" s="101" t="s">
        <v>123</v>
      </c>
      <c r="D91" s="102"/>
      <c r="E91" s="102"/>
      <c r="F91" s="102"/>
      <c r="G91" s="102"/>
      <c r="H91" s="102"/>
      <c r="I91" s="102"/>
      <c r="J91" s="102"/>
      <c r="K91" s="102"/>
      <c r="L91" s="102"/>
      <c r="M91" s="102"/>
      <c r="N91" s="102"/>
      <c r="O91" s="102"/>
      <c r="P91" s="102"/>
      <c r="Q91" s="102"/>
      <c r="R91" s="103"/>
      <c r="S91" s="9"/>
    </row>
    <row r="92" spans="2:24">
      <c r="B92" s="5"/>
      <c r="C92" s="145" t="s">
        <v>124</v>
      </c>
      <c r="D92" s="66"/>
      <c r="E92" s="66"/>
      <c r="F92" s="66"/>
      <c r="G92" s="66"/>
      <c r="H92" s="66"/>
      <c r="I92" s="66"/>
      <c r="J92" s="66"/>
      <c r="K92" s="66"/>
      <c r="L92" s="66"/>
      <c r="M92" s="66"/>
      <c r="N92" s="66"/>
      <c r="O92" s="66"/>
      <c r="P92" s="113">
        <f>SUM(P93:Q96)</f>
        <v>116090523.63231999</v>
      </c>
      <c r="Q92" s="114"/>
      <c r="R92" s="115"/>
      <c r="S92" s="9"/>
      <c r="T92" s="104"/>
      <c r="U92" s="53"/>
      <c r="W92" s="104"/>
    </row>
    <row r="93" spans="2:24">
      <c r="B93" s="5"/>
      <c r="C93" s="86" t="s">
        <v>125</v>
      </c>
      <c r="D93" s="66"/>
      <c r="E93" s="66"/>
      <c r="F93" s="66"/>
      <c r="G93" s="66"/>
      <c r="H93" s="66"/>
      <c r="I93" s="66"/>
      <c r="J93" s="66"/>
      <c r="K93" s="66"/>
      <c r="L93" s="66"/>
      <c r="M93" s="66"/>
      <c r="N93" s="66"/>
      <c r="O93" s="66"/>
      <c r="P93" s="116">
        <f>P56</f>
        <v>9723837.1590920389</v>
      </c>
      <c r="Q93" s="117"/>
      <c r="R93" s="9"/>
      <c r="S93" s="9"/>
      <c r="T93" s="104"/>
      <c r="U93" s="53"/>
      <c r="X93" s="53"/>
    </row>
    <row r="94" spans="2:24">
      <c r="B94" s="5"/>
      <c r="C94" s="86" t="s">
        <v>126</v>
      </c>
      <c r="D94" s="66"/>
      <c r="E94" s="66"/>
      <c r="F94" s="66"/>
      <c r="G94" s="66"/>
      <c r="H94" s="66"/>
      <c r="I94" s="66"/>
      <c r="J94" s="66"/>
      <c r="K94" s="66"/>
      <c r="L94" s="66"/>
      <c r="M94" s="66"/>
      <c r="N94" s="66"/>
      <c r="O94" s="66"/>
      <c r="P94" s="116">
        <f>P60+P63+P66-P81+Q58+P79-P96</f>
        <v>73309065.236227944</v>
      </c>
      <c r="Q94" s="117"/>
      <c r="R94" s="9"/>
      <c r="S94" s="9"/>
      <c r="T94" s="111"/>
      <c r="U94" s="53"/>
      <c r="W94" s="104"/>
    </row>
    <row r="95" spans="2:24">
      <c r="B95" s="5"/>
      <c r="C95" s="86" t="s">
        <v>91</v>
      </c>
      <c r="D95" s="66"/>
      <c r="E95" s="66"/>
      <c r="F95" s="66"/>
      <c r="G95" s="66"/>
      <c r="H95" s="66"/>
      <c r="I95" s="66"/>
      <c r="J95" s="66"/>
      <c r="K95" s="66"/>
      <c r="L95" s="66"/>
      <c r="M95" s="66"/>
      <c r="N95" s="66"/>
      <c r="O95" s="66"/>
      <c r="P95" s="116">
        <f>O201</f>
        <v>0</v>
      </c>
      <c r="Q95" s="117"/>
      <c r="R95" s="9"/>
      <c r="S95" s="9"/>
      <c r="W95" s="111"/>
    </row>
    <row r="96" spans="2:24" ht="15.75" thickBot="1">
      <c r="B96" s="5"/>
      <c r="C96" s="146" t="s">
        <v>92</v>
      </c>
      <c r="D96" s="147"/>
      <c r="E96" s="147"/>
      <c r="F96" s="147"/>
      <c r="G96" s="147"/>
      <c r="H96" s="147"/>
      <c r="I96" s="147"/>
      <c r="J96" s="147"/>
      <c r="K96" s="147"/>
      <c r="L96" s="147"/>
      <c r="M96" s="147"/>
      <c r="N96" s="147"/>
      <c r="O96" s="147"/>
      <c r="P96" s="148">
        <f>O192</f>
        <v>33057621.237</v>
      </c>
      <c r="Q96" s="149"/>
      <c r="R96" s="150"/>
      <c r="S96" s="9"/>
      <c r="U96" s="53"/>
    </row>
    <row r="97" spans="2:23" ht="15.75" thickBot="1">
      <c r="B97" s="5"/>
      <c r="C97" s="151"/>
      <c r="D97" s="13"/>
      <c r="E97" s="13"/>
      <c r="F97" s="13"/>
      <c r="G97" s="13"/>
      <c r="H97" s="13"/>
      <c r="I97" s="13"/>
      <c r="J97" s="13"/>
      <c r="K97" s="13"/>
      <c r="L97" s="13"/>
      <c r="M97" s="13"/>
      <c r="N97" s="13"/>
      <c r="O97" s="13"/>
      <c r="P97" s="13"/>
      <c r="Q97" s="13"/>
      <c r="R97" s="13"/>
      <c r="S97" s="9"/>
      <c r="T97" s="104"/>
      <c r="V97" s="152"/>
      <c r="W97" s="111"/>
    </row>
    <row r="98" spans="2:23">
      <c r="B98" s="5"/>
      <c r="C98" s="98" t="s">
        <v>127</v>
      </c>
      <c r="D98" s="99"/>
      <c r="E98" s="99"/>
      <c r="F98" s="99"/>
      <c r="G98" s="99"/>
      <c r="H98" s="99"/>
      <c r="I98" s="99"/>
      <c r="J98" s="99"/>
      <c r="K98" s="99"/>
      <c r="L98" s="99"/>
      <c r="M98" s="99"/>
      <c r="N98" s="99"/>
      <c r="O98" s="99"/>
      <c r="P98" s="99"/>
      <c r="Q98" s="99"/>
      <c r="R98" s="100"/>
      <c r="S98" s="9"/>
      <c r="T98" s="104"/>
      <c r="V98" s="152"/>
    </row>
    <row r="99" spans="2:23">
      <c r="B99" s="5"/>
      <c r="C99" s="135" t="s">
        <v>128</v>
      </c>
      <c r="D99" s="153"/>
      <c r="E99" s="153"/>
      <c r="F99" s="153"/>
      <c r="G99" s="153"/>
      <c r="H99" s="153"/>
      <c r="I99" s="153"/>
      <c r="J99" s="153"/>
      <c r="K99" s="153"/>
      <c r="L99" s="153"/>
      <c r="M99" s="153"/>
      <c r="N99" s="153"/>
      <c r="O99" s="154"/>
      <c r="P99" s="114">
        <f>P100+P101+P102-P103+P104+P105</f>
        <v>38126572.645104833</v>
      </c>
      <c r="Q99" s="114"/>
      <c r="R99" s="115"/>
      <c r="S99" s="9"/>
      <c r="V99" s="152"/>
    </row>
    <row r="100" spans="2:23">
      <c r="B100" s="5"/>
      <c r="C100" s="86" t="s">
        <v>129</v>
      </c>
      <c r="D100" s="66"/>
      <c r="E100" s="66"/>
      <c r="F100" s="66"/>
      <c r="G100" s="66"/>
      <c r="H100" s="66"/>
      <c r="I100" s="66"/>
      <c r="J100" s="66"/>
      <c r="K100" s="66"/>
      <c r="L100" s="66"/>
      <c r="M100" s="66"/>
      <c r="N100" s="66"/>
      <c r="O100" s="126"/>
      <c r="P100" s="117">
        <f>Q67+Q68+Q75</f>
        <v>41999402.499354839</v>
      </c>
      <c r="Q100" s="117"/>
      <c r="R100" s="155"/>
      <c r="S100" s="9"/>
      <c r="V100" s="152"/>
    </row>
    <row r="101" spans="2:23">
      <c r="B101" s="5"/>
      <c r="C101" s="86" t="s">
        <v>130</v>
      </c>
      <c r="D101" s="66"/>
      <c r="E101" s="66"/>
      <c r="F101" s="66"/>
      <c r="G101" s="66"/>
      <c r="H101" s="66"/>
      <c r="I101" s="66"/>
      <c r="J101" s="66"/>
      <c r="K101" s="66"/>
      <c r="L101" s="66"/>
      <c r="M101" s="66"/>
      <c r="N101" s="66"/>
      <c r="O101" s="126"/>
      <c r="P101" s="117">
        <f>'Servicer Report'!L58*50%</f>
        <v>739859.27575000003</v>
      </c>
      <c r="Q101" s="117"/>
      <c r="R101" s="131"/>
      <c r="S101" s="9"/>
      <c r="V101" s="156"/>
    </row>
    <row r="102" spans="2:23">
      <c r="B102" s="5"/>
      <c r="C102" s="86" t="s">
        <v>131</v>
      </c>
      <c r="D102" s="66"/>
      <c r="E102" s="66"/>
      <c r="F102" s="66"/>
      <c r="G102" s="66"/>
      <c r="H102" s="66"/>
      <c r="I102" s="66"/>
      <c r="J102" s="66"/>
      <c r="K102" s="66"/>
      <c r="L102" s="66"/>
      <c r="M102" s="66"/>
      <c r="N102" s="66"/>
      <c r="O102" s="126"/>
      <c r="P102" s="117">
        <v>0</v>
      </c>
      <c r="Q102" s="117"/>
      <c r="R102" s="131"/>
      <c r="S102" s="9"/>
    </row>
    <row r="103" spans="2:23">
      <c r="B103" s="5"/>
      <c r="C103" s="86" t="s">
        <v>132</v>
      </c>
      <c r="D103" s="66"/>
      <c r="E103" s="66"/>
      <c r="F103" s="66"/>
      <c r="G103" s="66"/>
      <c r="H103" s="66"/>
      <c r="I103" s="66"/>
      <c r="J103" s="66"/>
      <c r="K103" s="66"/>
      <c r="L103" s="66"/>
      <c r="M103" s="66"/>
      <c r="N103" s="66"/>
      <c r="O103" s="126"/>
      <c r="P103" s="117">
        <f>'Servicer Report'!J30</f>
        <v>4612689.13</v>
      </c>
      <c r="Q103" s="117"/>
      <c r="R103" s="131"/>
      <c r="S103" s="9"/>
      <c r="V103" s="111"/>
    </row>
    <row r="104" spans="2:23">
      <c r="B104" s="5"/>
      <c r="C104" s="86" t="s">
        <v>133</v>
      </c>
      <c r="D104" s="66"/>
      <c r="E104" s="66"/>
      <c r="F104" s="66"/>
      <c r="G104" s="66"/>
      <c r="H104" s="66"/>
      <c r="I104" s="66"/>
      <c r="J104" s="66"/>
      <c r="K104" s="66"/>
      <c r="L104" s="66"/>
      <c r="M104" s="66"/>
      <c r="N104" s="66"/>
      <c r="O104" s="126"/>
      <c r="P104" s="117">
        <v>0</v>
      </c>
      <c r="Q104" s="117"/>
      <c r="R104" s="131"/>
      <c r="S104" s="9"/>
      <c r="V104" s="111"/>
    </row>
    <row r="105" spans="2:23" ht="15.75" thickBot="1">
      <c r="B105" s="5"/>
      <c r="C105" s="146" t="s">
        <v>134</v>
      </c>
      <c r="D105" s="147"/>
      <c r="E105" s="147"/>
      <c r="F105" s="147"/>
      <c r="G105" s="147"/>
      <c r="H105" s="147"/>
      <c r="I105" s="147"/>
      <c r="J105" s="147"/>
      <c r="K105" s="147"/>
      <c r="L105" s="147"/>
      <c r="M105" s="147"/>
      <c r="N105" s="147"/>
      <c r="O105" s="157"/>
      <c r="P105" s="158">
        <v>0</v>
      </c>
      <c r="Q105" s="158"/>
      <c r="R105" s="159"/>
      <c r="S105" s="9"/>
    </row>
    <row r="106" spans="2:23" ht="15.75" thickBot="1">
      <c r="B106" s="5"/>
      <c r="C106" s="151"/>
      <c r="D106" s="13"/>
      <c r="E106" s="13"/>
      <c r="F106" s="13"/>
      <c r="G106" s="13"/>
      <c r="H106" s="13"/>
      <c r="I106" s="13"/>
      <c r="J106" s="160"/>
      <c r="K106" s="160"/>
      <c r="L106" s="160"/>
      <c r="M106" s="160"/>
      <c r="N106" s="160"/>
      <c r="O106" s="160"/>
      <c r="P106" s="160"/>
      <c r="Q106" s="160"/>
      <c r="R106" s="161"/>
      <c r="S106" s="9"/>
    </row>
    <row r="107" spans="2:23">
      <c r="B107" s="5"/>
      <c r="C107" s="98" t="s">
        <v>135</v>
      </c>
      <c r="D107" s="99"/>
      <c r="E107" s="99"/>
      <c r="F107" s="99"/>
      <c r="G107" s="99"/>
      <c r="H107" s="99"/>
      <c r="I107" s="99"/>
      <c r="J107" s="99"/>
      <c r="K107" s="99"/>
      <c r="L107" s="99"/>
      <c r="M107" s="99"/>
      <c r="N107" s="99"/>
      <c r="O107" s="99"/>
      <c r="P107" s="99"/>
      <c r="Q107" s="99"/>
      <c r="R107" s="100"/>
      <c r="S107" s="9"/>
    </row>
    <row r="108" spans="2:23">
      <c r="B108" s="5"/>
      <c r="C108" s="162" t="s">
        <v>136</v>
      </c>
      <c r="D108" s="24"/>
      <c r="E108" s="24"/>
      <c r="F108" s="24"/>
      <c r="G108" s="24"/>
      <c r="H108" s="24"/>
      <c r="I108" s="24"/>
      <c r="J108" s="24"/>
      <c r="K108" s="24"/>
      <c r="L108" s="24"/>
      <c r="M108" s="24"/>
      <c r="N108" s="24"/>
      <c r="O108" s="25"/>
      <c r="P108" s="163">
        <f>P99</f>
        <v>38126572.645104833</v>
      </c>
      <c r="Q108" s="163"/>
      <c r="R108" s="164"/>
      <c r="S108" s="9"/>
    </row>
    <row r="109" spans="2:23">
      <c r="B109" s="5"/>
      <c r="C109" s="165" t="s">
        <v>137</v>
      </c>
      <c r="D109" s="40"/>
      <c r="E109" s="40"/>
      <c r="F109" s="40"/>
      <c r="G109" s="40"/>
      <c r="H109" s="40"/>
      <c r="I109" s="40"/>
      <c r="J109" s="40"/>
      <c r="K109" s="40"/>
      <c r="L109" s="40"/>
      <c r="M109" s="40"/>
      <c r="N109" s="40"/>
      <c r="O109" s="45"/>
      <c r="P109" s="166">
        <f>N156</f>
        <v>79268547.94133313</v>
      </c>
      <c r="Q109" s="166"/>
      <c r="R109" s="167"/>
      <c r="S109" s="9"/>
    </row>
    <row r="110" spans="2:23" ht="15.75" thickBot="1">
      <c r="B110" s="5"/>
      <c r="C110" s="168" t="s">
        <v>138</v>
      </c>
      <c r="D110" s="55"/>
      <c r="E110" s="55"/>
      <c r="F110" s="55"/>
      <c r="G110" s="55"/>
      <c r="H110" s="55"/>
      <c r="I110" s="55"/>
      <c r="J110" s="55"/>
      <c r="K110" s="55"/>
      <c r="L110" s="55"/>
      <c r="M110" s="55"/>
      <c r="N110" s="55"/>
      <c r="O110" s="169"/>
      <c r="P110" s="170">
        <f>MAX(P108-P109,0)</f>
        <v>0</v>
      </c>
      <c r="Q110" s="170"/>
      <c r="R110" s="171"/>
      <c r="S110" s="9"/>
    </row>
    <row r="111" spans="2:23" ht="15.75" thickBot="1">
      <c r="B111" s="5"/>
      <c r="C111" s="151"/>
      <c r="D111" s="13"/>
      <c r="E111" s="13"/>
      <c r="F111" s="13"/>
      <c r="G111" s="13"/>
      <c r="H111" s="13"/>
      <c r="I111" s="13"/>
      <c r="J111" s="13"/>
      <c r="K111" s="13"/>
      <c r="L111" s="13"/>
      <c r="M111" s="13"/>
      <c r="N111" s="13"/>
      <c r="O111" s="160"/>
      <c r="P111" s="160"/>
      <c r="Q111" s="160"/>
      <c r="R111" s="161"/>
      <c r="S111" s="9"/>
    </row>
    <row r="112" spans="2:23">
      <c r="B112" s="5"/>
      <c r="C112" s="98" t="s">
        <v>139</v>
      </c>
      <c r="D112" s="99"/>
      <c r="E112" s="99"/>
      <c r="F112" s="99"/>
      <c r="G112" s="99"/>
      <c r="H112" s="99"/>
      <c r="I112" s="99"/>
      <c r="J112" s="99"/>
      <c r="K112" s="99"/>
      <c r="L112" s="99"/>
      <c r="M112" s="99"/>
      <c r="N112" s="99"/>
      <c r="O112" s="99"/>
      <c r="P112" s="99"/>
      <c r="Q112" s="99"/>
      <c r="R112" s="100"/>
      <c r="S112" s="9"/>
    </row>
    <row r="113" spans="2:19">
      <c r="B113" s="5"/>
      <c r="C113" s="172"/>
      <c r="D113" s="173"/>
      <c r="E113" s="173"/>
      <c r="F113" s="173"/>
      <c r="G113" s="173"/>
      <c r="H113" s="173"/>
      <c r="I113" s="173"/>
      <c r="J113" s="173"/>
      <c r="K113" s="174" t="s">
        <v>140</v>
      </c>
      <c r="L113" s="175"/>
      <c r="M113" s="176" t="s">
        <v>141</v>
      </c>
      <c r="N113" s="177"/>
      <c r="O113" s="176" t="s">
        <v>142</v>
      </c>
      <c r="P113" s="177"/>
      <c r="Q113" s="102" t="s">
        <v>143</v>
      </c>
      <c r="R113" s="103"/>
      <c r="S113" s="9"/>
    </row>
    <row r="114" spans="2:19">
      <c r="B114" s="5"/>
      <c r="C114" s="165" t="s">
        <v>144</v>
      </c>
      <c r="D114" s="62"/>
      <c r="E114" s="62"/>
      <c r="F114" s="62"/>
      <c r="G114" s="62"/>
      <c r="H114" s="62"/>
      <c r="I114" s="62"/>
      <c r="J114" s="62"/>
      <c r="K114" s="178">
        <v>0</v>
      </c>
      <c r="L114" s="179"/>
      <c r="M114" s="178">
        <v>0</v>
      </c>
      <c r="N114" s="179"/>
      <c r="O114" s="178" t="s">
        <v>145</v>
      </c>
      <c r="P114" s="179"/>
      <c r="Q114" s="178" t="s">
        <v>145</v>
      </c>
      <c r="R114" s="180"/>
      <c r="S114" s="9"/>
    </row>
    <row r="115" spans="2:19" ht="15.75" thickBot="1">
      <c r="B115" s="5"/>
      <c r="C115" s="168" t="s">
        <v>146</v>
      </c>
      <c r="D115" s="147"/>
      <c r="E115" s="147"/>
      <c r="F115" s="147"/>
      <c r="G115" s="147"/>
      <c r="H115" s="147"/>
      <c r="I115" s="147"/>
      <c r="J115" s="147"/>
      <c r="K115" s="181">
        <v>0</v>
      </c>
      <c r="L115" s="182"/>
      <c r="M115" s="181">
        <v>0</v>
      </c>
      <c r="N115" s="182"/>
      <c r="O115" s="181" t="s">
        <v>145</v>
      </c>
      <c r="P115" s="182"/>
      <c r="Q115" s="181" t="s">
        <v>145</v>
      </c>
      <c r="R115" s="183"/>
      <c r="S115" s="9"/>
    </row>
    <row r="116" spans="2:19" ht="15.75" thickBot="1">
      <c r="B116" s="5"/>
      <c r="C116" s="151"/>
      <c r="D116" s="13"/>
      <c r="E116" s="13"/>
      <c r="F116" s="13"/>
      <c r="G116" s="13"/>
      <c r="H116" s="13"/>
      <c r="I116" s="13"/>
      <c r="J116" s="13"/>
      <c r="K116" s="13"/>
      <c r="L116" s="13"/>
      <c r="M116" s="13"/>
      <c r="N116" s="13"/>
      <c r="O116" s="13"/>
      <c r="P116" s="13"/>
      <c r="Q116" s="13"/>
      <c r="R116" s="13"/>
      <c r="S116" s="9"/>
    </row>
    <row r="117" spans="2:19">
      <c r="B117" s="5"/>
      <c r="C117" s="98" t="s">
        <v>147</v>
      </c>
      <c r="D117" s="99"/>
      <c r="E117" s="99"/>
      <c r="F117" s="99"/>
      <c r="G117" s="99"/>
      <c r="H117" s="99"/>
      <c r="I117" s="99"/>
      <c r="J117" s="99"/>
      <c r="K117" s="99"/>
      <c r="L117" s="99"/>
      <c r="M117" s="99"/>
      <c r="N117" s="99"/>
      <c r="O117" s="99"/>
      <c r="P117" s="99"/>
      <c r="Q117" s="99"/>
      <c r="R117" s="100"/>
      <c r="S117" s="9"/>
    </row>
    <row r="118" spans="2:19">
      <c r="B118" s="5"/>
      <c r="C118" s="86" t="s">
        <v>148</v>
      </c>
      <c r="D118" s="66"/>
      <c r="E118" s="66"/>
      <c r="F118" s="66"/>
      <c r="G118" s="66"/>
      <c r="H118" s="66"/>
      <c r="I118" s="66"/>
      <c r="J118" s="66"/>
      <c r="K118" s="66"/>
      <c r="L118" s="66"/>
      <c r="M118" s="66"/>
      <c r="N118" s="66"/>
      <c r="O118" s="66"/>
      <c r="P118" s="184" t="s">
        <v>149</v>
      </c>
      <c r="Q118" s="185"/>
      <c r="R118" s="186"/>
      <c r="S118" s="9"/>
    </row>
    <row r="119" spans="2:19">
      <c r="B119" s="5"/>
      <c r="C119" s="86" t="s">
        <v>150</v>
      </c>
      <c r="D119" s="66"/>
      <c r="E119" s="66"/>
      <c r="F119" s="66"/>
      <c r="G119" s="66"/>
      <c r="H119" s="66"/>
      <c r="I119" s="66"/>
      <c r="J119" s="66"/>
      <c r="K119" s="66"/>
      <c r="L119" s="66"/>
      <c r="M119" s="66"/>
      <c r="N119" s="66"/>
      <c r="O119" s="66"/>
      <c r="P119" s="187" t="s">
        <v>149</v>
      </c>
      <c r="Q119" s="188"/>
      <c r="R119" s="189"/>
      <c r="S119" s="9"/>
    </row>
    <row r="120" spans="2:19">
      <c r="B120" s="5"/>
      <c r="C120" s="86" t="s">
        <v>151</v>
      </c>
      <c r="D120" s="66"/>
      <c r="E120" s="66"/>
      <c r="F120" s="66"/>
      <c r="G120" s="66"/>
      <c r="H120" s="66"/>
      <c r="I120" s="66"/>
      <c r="J120" s="66"/>
      <c r="K120" s="66"/>
      <c r="L120" s="66"/>
      <c r="M120" s="66"/>
      <c r="N120" s="66"/>
      <c r="O120" s="66"/>
      <c r="P120" s="187" t="s">
        <v>145</v>
      </c>
      <c r="Q120" s="188"/>
      <c r="R120" s="189"/>
      <c r="S120" s="9"/>
    </row>
    <row r="121" spans="2:19">
      <c r="B121" s="5"/>
      <c r="C121" s="162" t="s">
        <v>152</v>
      </c>
      <c r="D121" s="128"/>
      <c r="E121" s="128"/>
      <c r="F121" s="128"/>
      <c r="G121" s="128"/>
      <c r="H121" s="128"/>
      <c r="I121" s="128"/>
      <c r="J121" s="128"/>
      <c r="K121" s="128"/>
      <c r="L121" s="128"/>
      <c r="M121" s="128"/>
      <c r="N121" s="128"/>
      <c r="O121" s="128"/>
      <c r="P121" s="190" t="s">
        <v>149</v>
      </c>
      <c r="Q121" s="191"/>
      <c r="R121" s="192"/>
      <c r="S121" s="9"/>
    </row>
    <row r="122" spans="2:19">
      <c r="B122" s="5"/>
      <c r="C122" s="193" t="s">
        <v>153</v>
      </c>
      <c r="D122" s="106"/>
      <c r="E122" s="106"/>
      <c r="F122" s="106"/>
      <c r="G122" s="106"/>
      <c r="H122" s="106"/>
      <c r="I122" s="106"/>
      <c r="J122" s="106"/>
      <c r="K122" s="106"/>
      <c r="L122" s="106"/>
      <c r="M122" s="106"/>
      <c r="N122" s="106"/>
      <c r="O122" s="194"/>
      <c r="P122" s="195" t="s">
        <v>149</v>
      </c>
      <c r="Q122" s="196"/>
      <c r="R122" s="197"/>
      <c r="S122" s="9"/>
    </row>
    <row r="123" spans="2:19">
      <c r="B123" s="5"/>
      <c r="C123" s="132" t="s">
        <v>154</v>
      </c>
      <c r="D123" s="66"/>
      <c r="E123" s="66"/>
      <c r="F123" s="66"/>
      <c r="G123" s="66"/>
      <c r="H123" s="66"/>
      <c r="I123" s="66"/>
      <c r="J123" s="66"/>
      <c r="K123" s="66"/>
      <c r="L123" s="66"/>
      <c r="M123" s="66"/>
      <c r="N123" s="66"/>
      <c r="O123" s="198"/>
      <c r="P123" s="195" t="s">
        <v>149</v>
      </c>
      <c r="Q123" s="196"/>
      <c r="R123" s="197"/>
      <c r="S123" s="9"/>
    </row>
    <row r="124" spans="2:19">
      <c r="B124" s="5"/>
      <c r="C124" s="132" t="s">
        <v>155</v>
      </c>
      <c r="D124" s="66"/>
      <c r="E124" s="66"/>
      <c r="F124" s="66"/>
      <c r="G124" s="66"/>
      <c r="H124" s="66"/>
      <c r="I124" s="66"/>
      <c r="J124" s="66"/>
      <c r="K124" s="66"/>
      <c r="L124" s="66"/>
      <c r="M124" s="66"/>
      <c r="N124" s="66"/>
      <c r="O124" s="198"/>
      <c r="P124" s="195" t="s">
        <v>149</v>
      </c>
      <c r="Q124" s="196"/>
      <c r="R124" s="197"/>
      <c r="S124" s="9"/>
    </row>
    <row r="125" spans="2:19">
      <c r="B125" s="5"/>
      <c r="C125" s="132" t="s">
        <v>156</v>
      </c>
      <c r="D125" s="66"/>
      <c r="E125" s="66"/>
      <c r="F125" s="66"/>
      <c r="G125" s="66"/>
      <c r="H125" s="66"/>
      <c r="I125" s="66"/>
      <c r="J125" s="66"/>
      <c r="K125" s="66"/>
      <c r="L125" s="66"/>
      <c r="M125" s="66"/>
      <c r="N125" s="66"/>
      <c r="O125" s="198"/>
      <c r="P125" s="195" t="s">
        <v>145</v>
      </c>
      <c r="Q125" s="196"/>
      <c r="R125" s="197"/>
      <c r="S125" s="9"/>
    </row>
    <row r="126" spans="2:19">
      <c r="B126" s="5"/>
      <c r="C126" s="132" t="s">
        <v>157</v>
      </c>
      <c r="D126" s="66"/>
      <c r="E126" s="66"/>
      <c r="F126" s="66"/>
      <c r="G126" s="66"/>
      <c r="H126" s="66"/>
      <c r="I126" s="66"/>
      <c r="J126" s="66"/>
      <c r="K126" s="66"/>
      <c r="L126" s="66"/>
      <c r="M126" s="66"/>
      <c r="N126" s="66"/>
      <c r="O126" s="198"/>
      <c r="P126" s="195" t="s">
        <v>145</v>
      </c>
      <c r="Q126" s="196"/>
      <c r="R126" s="197"/>
      <c r="S126" s="9"/>
    </row>
    <row r="127" spans="2:19">
      <c r="B127" s="5"/>
      <c r="C127" s="132" t="s">
        <v>158</v>
      </c>
      <c r="D127" s="66"/>
      <c r="E127" s="66"/>
      <c r="F127" s="66"/>
      <c r="G127" s="66"/>
      <c r="H127" s="66"/>
      <c r="I127" s="66"/>
      <c r="J127" s="66"/>
      <c r="K127" s="66"/>
      <c r="L127" s="66"/>
      <c r="M127" s="66"/>
      <c r="N127" s="66"/>
      <c r="O127" s="198"/>
      <c r="P127" s="195" t="s">
        <v>145</v>
      </c>
      <c r="Q127" s="196"/>
      <c r="R127" s="197"/>
      <c r="S127" s="9"/>
    </row>
    <row r="128" spans="2:19">
      <c r="B128" s="5"/>
      <c r="C128" s="132" t="s">
        <v>159</v>
      </c>
      <c r="D128" s="66"/>
      <c r="E128" s="66"/>
      <c r="F128" s="66"/>
      <c r="G128" s="66"/>
      <c r="H128" s="66"/>
      <c r="I128" s="66"/>
      <c r="J128" s="66"/>
      <c r="K128" s="66"/>
      <c r="L128" s="66"/>
      <c r="M128" s="66"/>
      <c r="N128" s="66"/>
      <c r="O128" s="198"/>
      <c r="P128" s="195" t="s">
        <v>145</v>
      </c>
      <c r="Q128" s="196"/>
      <c r="R128" s="197"/>
      <c r="S128" s="9"/>
    </row>
    <row r="129" spans="2:19">
      <c r="B129" s="5"/>
      <c r="C129" s="132" t="s">
        <v>160</v>
      </c>
      <c r="D129" s="66"/>
      <c r="E129" s="66"/>
      <c r="F129" s="66"/>
      <c r="G129" s="66"/>
      <c r="H129" s="66"/>
      <c r="I129" s="66"/>
      <c r="J129" s="66"/>
      <c r="K129" s="66"/>
      <c r="L129" s="66"/>
      <c r="M129" s="66"/>
      <c r="N129" s="66"/>
      <c r="O129" s="198"/>
      <c r="P129" s="195" t="s">
        <v>145</v>
      </c>
      <c r="Q129" s="196"/>
      <c r="R129" s="197"/>
      <c r="S129" s="9"/>
    </row>
    <row r="130" spans="2:19">
      <c r="B130" s="5"/>
      <c r="C130" s="162" t="s">
        <v>161</v>
      </c>
      <c r="D130" s="128"/>
      <c r="E130" s="128"/>
      <c r="F130" s="128"/>
      <c r="G130" s="128"/>
      <c r="H130" s="128"/>
      <c r="I130" s="128"/>
      <c r="J130" s="128"/>
      <c r="K130" s="128"/>
      <c r="L130" s="128"/>
      <c r="M130" s="128"/>
      <c r="N130" s="128"/>
      <c r="O130" s="199"/>
      <c r="P130" s="190" t="s">
        <v>149</v>
      </c>
      <c r="Q130" s="191"/>
      <c r="R130" s="192"/>
      <c r="S130" s="9"/>
    </row>
    <row r="131" spans="2:19">
      <c r="B131" s="5"/>
      <c r="C131" s="193" t="s">
        <v>162</v>
      </c>
      <c r="D131" s="106"/>
      <c r="E131" s="106"/>
      <c r="F131" s="106"/>
      <c r="G131" s="106"/>
      <c r="H131" s="106"/>
      <c r="I131" s="106"/>
      <c r="J131" s="106"/>
      <c r="K131" s="106"/>
      <c r="L131" s="106"/>
      <c r="M131" s="106"/>
      <c r="N131" s="106"/>
      <c r="O131" s="194"/>
      <c r="P131" s="184" t="s">
        <v>149</v>
      </c>
      <c r="Q131" s="185"/>
      <c r="R131" s="200"/>
      <c r="S131" s="9"/>
    </row>
    <row r="132" spans="2:19" ht="15.75" thickBot="1">
      <c r="B132" s="5"/>
      <c r="C132" s="168" t="s">
        <v>163</v>
      </c>
      <c r="D132" s="147"/>
      <c r="E132" s="147"/>
      <c r="F132" s="147"/>
      <c r="G132" s="147"/>
      <c r="H132" s="147"/>
      <c r="I132" s="147"/>
      <c r="J132" s="147"/>
      <c r="K132" s="147"/>
      <c r="L132" s="147"/>
      <c r="M132" s="147"/>
      <c r="N132" s="147"/>
      <c r="O132" s="201"/>
      <c r="P132" s="202" t="s">
        <v>149</v>
      </c>
      <c r="Q132" s="203"/>
      <c r="R132" s="204"/>
      <c r="S132" s="9"/>
    </row>
    <row r="133" spans="2:19" ht="15.75" thickBot="1">
      <c r="B133" s="5"/>
      <c r="C133" s="151"/>
      <c r="D133" s="13"/>
      <c r="E133" s="13"/>
      <c r="F133" s="13"/>
      <c r="G133" s="13"/>
      <c r="H133" s="13"/>
      <c r="I133" s="13"/>
      <c r="J133" s="13"/>
      <c r="K133" s="13"/>
      <c r="L133" s="13"/>
      <c r="M133" s="13"/>
      <c r="N133" s="13"/>
      <c r="O133" s="13"/>
      <c r="P133" s="13"/>
      <c r="Q133" s="13"/>
      <c r="R133" s="13"/>
      <c r="S133" s="9"/>
    </row>
    <row r="134" spans="2:19">
      <c r="B134" s="5"/>
      <c r="C134" s="98" t="s">
        <v>164</v>
      </c>
      <c r="D134" s="99"/>
      <c r="E134" s="99"/>
      <c r="F134" s="99"/>
      <c r="G134" s="99"/>
      <c r="H134" s="99"/>
      <c r="I134" s="99"/>
      <c r="J134" s="99"/>
      <c r="K134" s="99"/>
      <c r="L134" s="99"/>
      <c r="M134" s="99"/>
      <c r="N134" s="99"/>
      <c r="O134" s="99"/>
      <c r="P134" s="99"/>
      <c r="Q134" s="99"/>
      <c r="R134" s="100"/>
      <c r="S134" s="9"/>
    </row>
    <row r="135" spans="2:19" ht="45.75" customHeight="1">
      <c r="B135" s="5"/>
      <c r="C135" s="205" t="s">
        <v>165</v>
      </c>
      <c r="D135" s="206"/>
      <c r="E135" s="206"/>
      <c r="F135" s="206"/>
      <c r="G135" s="206"/>
      <c r="H135" s="206"/>
      <c r="I135" s="206"/>
      <c r="J135" s="207"/>
      <c r="K135" s="208" t="s">
        <v>166</v>
      </c>
      <c r="L135" s="209"/>
      <c r="M135" s="210"/>
      <c r="N135" s="211" t="s">
        <v>167</v>
      </c>
      <c r="O135" s="212"/>
      <c r="P135" s="213"/>
      <c r="Q135" s="208" t="s">
        <v>168</v>
      </c>
      <c r="R135" s="214"/>
      <c r="S135" s="9"/>
    </row>
    <row r="136" spans="2:19">
      <c r="B136" s="5"/>
      <c r="C136" s="165" t="s">
        <v>169</v>
      </c>
      <c r="D136" s="62"/>
      <c r="E136" s="62"/>
      <c r="F136" s="62"/>
      <c r="G136" s="62"/>
      <c r="H136" s="62"/>
      <c r="I136" s="62"/>
      <c r="J136" s="62"/>
      <c r="K136" s="215">
        <v>2603291.1800000002</v>
      </c>
      <c r="L136" s="216"/>
      <c r="M136" s="216"/>
      <c r="N136" s="142">
        <f>P92</f>
        <v>116090523.63231999</v>
      </c>
      <c r="O136" s="143"/>
      <c r="P136" s="217"/>
      <c r="Q136" s="218">
        <f>K136</f>
        <v>2603291.1800000002</v>
      </c>
      <c r="R136" s="219"/>
      <c r="S136" s="9"/>
    </row>
    <row r="137" spans="2:19">
      <c r="B137" s="5"/>
      <c r="C137" s="135" t="s">
        <v>170</v>
      </c>
      <c r="D137" s="106"/>
      <c r="E137" s="106"/>
      <c r="F137" s="106"/>
      <c r="G137" s="106"/>
      <c r="H137" s="106"/>
      <c r="I137" s="106"/>
      <c r="J137" s="106"/>
      <c r="K137" s="220">
        <f>SUM(K138:L139)</f>
        <v>92689.41</v>
      </c>
      <c r="L137" s="221"/>
      <c r="M137" s="221"/>
      <c r="N137" s="222">
        <f>N136-Q136</f>
        <v>113487232.45231998</v>
      </c>
      <c r="O137" s="223"/>
      <c r="P137" s="224"/>
      <c r="Q137" s="222">
        <f>SUM(Q138:Q139)</f>
        <v>92689.41</v>
      </c>
      <c r="R137" s="225"/>
      <c r="S137" s="9"/>
    </row>
    <row r="138" spans="2:19">
      <c r="B138" s="5"/>
      <c r="C138" s="86" t="s">
        <v>171</v>
      </c>
      <c r="D138" s="66"/>
      <c r="E138" s="66"/>
      <c r="F138" s="66"/>
      <c r="G138" s="66"/>
      <c r="H138" s="66"/>
      <c r="I138" s="66"/>
      <c r="J138" s="66"/>
      <c r="K138" s="226">
        <v>25691.91</v>
      </c>
      <c r="L138" s="227"/>
      <c r="M138" s="228"/>
      <c r="N138" s="116">
        <f>N137*K138/$K$137</f>
        <v>31456708.617673624</v>
      </c>
      <c r="O138" s="117"/>
      <c r="P138" s="229"/>
      <c r="Q138" s="119">
        <f>K138</f>
        <v>25691.91</v>
      </c>
      <c r="R138" s="230"/>
      <c r="S138" s="9"/>
    </row>
    <row r="139" spans="2:19">
      <c r="B139" s="5"/>
      <c r="C139" s="86" t="s">
        <v>172</v>
      </c>
      <c r="D139" s="66"/>
      <c r="E139" s="66"/>
      <c r="F139" s="66"/>
      <c r="G139" s="66"/>
      <c r="H139" s="66"/>
      <c r="I139" s="66"/>
      <c r="J139" s="66"/>
      <c r="K139" s="226">
        <v>66997.5</v>
      </c>
      <c r="L139" s="227"/>
      <c r="M139" s="231"/>
      <c r="N139" s="142">
        <f>N137*K139/$K$137</f>
        <v>82030523.834646344</v>
      </c>
      <c r="O139" s="143"/>
      <c r="P139" s="232"/>
      <c r="Q139" s="121">
        <f>K139</f>
        <v>66997.5</v>
      </c>
      <c r="R139" s="233"/>
      <c r="S139" s="9"/>
    </row>
    <row r="140" spans="2:19">
      <c r="B140" s="5"/>
      <c r="C140" s="135" t="s">
        <v>173</v>
      </c>
      <c r="D140" s="106"/>
      <c r="E140" s="106"/>
      <c r="F140" s="106"/>
      <c r="G140" s="106"/>
      <c r="H140" s="106"/>
      <c r="I140" s="106"/>
      <c r="J140" s="106"/>
      <c r="K140" s="220">
        <f>SUM(K141:L142)</f>
        <v>420</v>
      </c>
      <c r="L140" s="221"/>
      <c r="M140" s="221"/>
      <c r="N140" s="222">
        <f>N137-Q137</f>
        <v>113394543.04231998</v>
      </c>
      <c r="O140" s="223"/>
      <c r="P140" s="224"/>
      <c r="Q140" s="222">
        <f>SUM(Q141:Q142)</f>
        <v>420</v>
      </c>
      <c r="R140" s="225"/>
      <c r="S140" s="9"/>
    </row>
    <row r="141" spans="2:19">
      <c r="B141" s="5"/>
      <c r="C141" s="86" t="s">
        <v>174</v>
      </c>
      <c r="D141" s="66"/>
      <c r="E141" s="66"/>
      <c r="F141" s="66"/>
      <c r="G141" s="66"/>
      <c r="H141" s="66"/>
      <c r="I141" s="66"/>
      <c r="J141" s="66"/>
      <c r="K141" s="226">
        <v>420</v>
      </c>
      <c r="L141" s="227"/>
      <c r="M141" s="228"/>
      <c r="N141" s="116">
        <f>$N$140*K141/$K$140</f>
        <v>113394543.04231998</v>
      </c>
      <c r="O141" s="117"/>
      <c r="P141" s="229"/>
      <c r="Q141" s="119">
        <f>K141</f>
        <v>420</v>
      </c>
      <c r="R141" s="230"/>
      <c r="S141" s="9"/>
    </row>
    <row r="142" spans="2:19">
      <c r="B142" s="5"/>
      <c r="C142" s="86" t="s">
        <v>175</v>
      </c>
      <c r="D142" s="66"/>
      <c r="E142" s="66"/>
      <c r="F142" s="66"/>
      <c r="G142" s="66"/>
      <c r="H142" s="66"/>
      <c r="I142" s="66"/>
      <c r="J142" s="66"/>
      <c r="K142" s="234">
        <v>0</v>
      </c>
      <c r="L142" s="235"/>
      <c r="M142" s="228"/>
      <c r="N142" s="142">
        <f>IFERROR($N$140*K142/$K$140,0)</f>
        <v>0</v>
      </c>
      <c r="O142" s="143"/>
      <c r="P142" s="232"/>
      <c r="Q142" s="121">
        <f>K142</f>
        <v>0</v>
      </c>
      <c r="R142" s="233"/>
      <c r="S142" s="9"/>
    </row>
    <row r="143" spans="2:19">
      <c r="B143" s="5"/>
      <c r="C143" s="135" t="s">
        <v>176</v>
      </c>
      <c r="D143" s="106"/>
      <c r="E143" s="106"/>
      <c r="F143" s="106"/>
      <c r="G143" s="106"/>
      <c r="H143" s="106"/>
      <c r="I143" s="106"/>
      <c r="J143" s="106"/>
      <c r="K143" s="220">
        <f>SUM(K144:L146)</f>
        <v>4804918.8370170835</v>
      </c>
      <c r="L143" s="221"/>
      <c r="M143" s="236"/>
      <c r="N143" s="222">
        <f>N140-Q140</f>
        <v>113394123.04231998</v>
      </c>
      <c r="O143" s="223"/>
      <c r="P143" s="224"/>
      <c r="Q143" s="222">
        <f>SUM(Q144:Q146)</f>
        <v>4804918.8370170835</v>
      </c>
      <c r="R143" s="225"/>
      <c r="S143" s="9"/>
    </row>
    <row r="144" spans="2:19">
      <c r="B144" s="5"/>
      <c r="C144" s="86" t="s">
        <v>177</v>
      </c>
      <c r="D144" s="66"/>
      <c r="E144" s="66"/>
      <c r="F144" s="66"/>
      <c r="G144" s="66"/>
      <c r="H144" s="66"/>
      <c r="I144" s="66"/>
      <c r="J144" s="66"/>
      <c r="K144" s="226">
        <v>4047524.7614645213</v>
      </c>
      <c r="L144" s="227"/>
      <c r="M144" s="237"/>
      <c r="N144" s="116">
        <f>$N$143*K144/$K$143</f>
        <v>95519932.050147325</v>
      </c>
      <c r="O144" s="117"/>
      <c r="P144" s="229"/>
      <c r="Q144" s="119">
        <f>K144</f>
        <v>4047524.7614645213</v>
      </c>
      <c r="R144" s="230"/>
      <c r="S144" s="9"/>
    </row>
    <row r="145" spans="2:19">
      <c r="B145" s="5"/>
      <c r="C145" s="86" t="s">
        <v>178</v>
      </c>
      <c r="D145" s="66"/>
      <c r="E145" s="66"/>
      <c r="F145" s="66"/>
      <c r="G145" s="66"/>
      <c r="H145" s="66"/>
      <c r="I145" s="66"/>
      <c r="J145" s="66"/>
      <c r="K145" s="226">
        <v>43125</v>
      </c>
      <c r="L145" s="227"/>
      <c r="M145" s="237"/>
      <c r="N145" s="116">
        <f>$N$143*K145/$K$143</f>
        <v>1017732.3950878346</v>
      </c>
      <c r="O145" s="117"/>
      <c r="P145" s="229"/>
      <c r="Q145" s="119">
        <f>K145</f>
        <v>43125</v>
      </c>
      <c r="R145" s="230"/>
      <c r="S145" s="9"/>
    </row>
    <row r="146" spans="2:19">
      <c r="B146" s="5"/>
      <c r="C146" s="86" t="s">
        <v>179</v>
      </c>
      <c r="D146" s="66"/>
      <c r="E146" s="66"/>
      <c r="F146" s="66"/>
      <c r="G146" s="66"/>
      <c r="H146" s="66"/>
      <c r="I146" s="66"/>
      <c r="J146" s="66"/>
      <c r="K146" s="215">
        <v>714269.0755525626</v>
      </c>
      <c r="L146" s="216"/>
      <c r="M146" s="238"/>
      <c r="N146" s="142">
        <f>$N$143*K146/$K$143</f>
        <v>16856458.597084824</v>
      </c>
      <c r="O146" s="143"/>
      <c r="P146" s="232"/>
      <c r="Q146" s="121">
        <f>K146</f>
        <v>714269.0755525626</v>
      </c>
      <c r="R146" s="239"/>
      <c r="S146" s="9"/>
    </row>
    <row r="147" spans="2:19">
      <c r="B147" s="5"/>
      <c r="C147" s="165" t="s">
        <v>180</v>
      </c>
      <c r="D147" s="62"/>
      <c r="E147" s="62"/>
      <c r="F147" s="62"/>
      <c r="G147" s="62"/>
      <c r="H147" s="62"/>
      <c r="I147" s="62"/>
      <c r="J147" s="62"/>
      <c r="K147" s="220">
        <v>1665834.907397259</v>
      </c>
      <c r="L147" s="221"/>
      <c r="M147" s="221"/>
      <c r="N147" s="218">
        <f>N143-Q143</f>
        <v>108589204.20530289</v>
      </c>
      <c r="O147" s="240"/>
      <c r="P147" s="241"/>
      <c r="Q147" s="218">
        <f>K147</f>
        <v>1665834.907397259</v>
      </c>
      <c r="R147" s="219"/>
      <c r="S147" s="9"/>
    </row>
    <row r="148" spans="2:19">
      <c r="B148" s="5"/>
      <c r="C148" s="135" t="s">
        <v>181</v>
      </c>
      <c r="D148" s="106"/>
      <c r="E148" s="106"/>
      <c r="F148" s="106"/>
      <c r="G148" s="106"/>
      <c r="H148" s="106"/>
      <c r="I148" s="106"/>
      <c r="J148" s="106"/>
      <c r="K148" s="220">
        <v>0</v>
      </c>
      <c r="L148" s="221"/>
      <c r="M148" s="221"/>
      <c r="N148" s="218">
        <f>N147-Q147</f>
        <v>106923369.29790564</v>
      </c>
      <c r="O148" s="240"/>
      <c r="P148" s="241"/>
      <c r="Q148" s="218">
        <f>K148</f>
        <v>0</v>
      </c>
      <c r="R148" s="219"/>
      <c r="S148" s="9"/>
    </row>
    <row r="149" spans="2:19">
      <c r="B149" s="5"/>
      <c r="C149" s="135" t="s">
        <v>182</v>
      </c>
      <c r="D149" s="106"/>
      <c r="E149" s="106"/>
      <c r="F149" s="106"/>
      <c r="G149" s="106"/>
      <c r="H149" s="106"/>
      <c r="I149" s="106"/>
      <c r="J149" s="106"/>
      <c r="K149" s="220">
        <f>SUM(K150:L152)</f>
        <v>21876300.699038271</v>
      </c>
      <c r="L149" s="221"/>
      <c r="M149" s="236"/>
      <c r="N149" s="116">
        <f>N148-Q148</f>
        <v>106923369.29790564</v>
      </c>
      <c r="O149" s="117"/>
      <c r="P149" s="242"/>
      <c r="Q149" s="222">
        <f>SUM(Q150:Q152)</f>
        <v>21876300.699038271</v>
      </c>
      <c r="R149" s="225"/>
      <c r="S149" s="9"/>
    </row>
    <row r="150" spans="2:19">
      <c r="B150" s="5"/>
      <c r="C150" s="86" t="s">
        <v>183</v>
      </c>
      <c r="D150" s="66"/>
      <c r="E150" s="66"/>
      <c r="F150" s="66"/>
      <c r="G150" s="66"/>
      <c r="H150" s="66"/>
      <c r="I150" s="66"/>
      <c r="J150" s="66"/>
      <c r="K150" s="226">
        <f>G36+H36+I36</f>
        <v>5288742.5346547114</v>
      </c>
      <c r="L150" s="227"/>
      <c r="M150" s="237"/>
      <c r="N150" s="116">
        <f>$N$149*K150/$K$149</f>
        <v>25849442.231304098</v>
      </c>
      <c r="O150" s="117"/>
      <c r="P150" s="243"/>
      <c r="Q150" s="119">
        <f t="shared" ref="Q150:Q158" si="20">K150</f>
        <v>5288742.5346547114</v>
      </c>
      <c r="R150" s="230"/>
      <c r="S150" s="9"/>
    </row>
    <row r="151" spans="2:19">
      <c r="B151" s="5"/>
      <c r="C151" s="86" t="s">
        <v>184</v>
      </c>
      <c r="D151" s="66"/>
      <c r="E151" s="66"/>
      <c r="F151" s="66"/>
      <c r="G151" s="66"/>
      <c r="H151" s="66"/>
      <c r="I151" s="66"/>
      <c r="J151" s="66"/>
      <c r="K151" s="226">
        <f>J36+K36+L36</f>
        <v>15527604.739726026</v>
      </c>
      <c r="L151" s="227"/>
      <c r="M151" s="237"/>
      <c r="N151" s="116">
        <f>$N$149*K151/$K$149</f>
        <v>75893261.787657931</v>
      </c>
      <c r="O151" s="117"/>
      <c r="P151" s="243"/>
      <c r="Q151" s="119">
        <f t="shared" si="20"/>
        <v>15527604.739726026</v>
      </c>
      <c r="R151" s="230"/>
      <c r="S151" s="9"/>
    </row>
    <row r="152" spans="2:19">
      <c r="B152" s="5"/>
      <c r="C152" s="127" t="s">
        <v>185</v>
      </c>
      <c r="D152" s="128"/>
      <c r="E152" s="128"/>
      <c r="F152" s="128"/>
      <c r="G152" s="128"/>
      <c r="H152" s="128"/>
      <c r="I152" s="128"/>
      <c r="J152" s="128"/>
      <c r="K152" s="234">
        <v>1059953.4246575343</v>
      </c>
      <c r="L152" s="235"/>
      <c r="M152" s="238"/>
      <c r="N152" s="116">
        <f>$N$149*K152/$K$149</f>
        <v>5180665.2789436076</v>
      </c>
      <c r="O152" s="117"/>
      <c r="P152" s="243"/>
      <c r="Q152" s="121">
        <f t="shared" si="20"/>
        <v>1059953.4246575343</v>
      </c>
      <c r="R152" s="239"/>
      <c r="S152" s="9"/>
    </row>
    <row r="153" spans="2:19">
      <c r="B153" s="5"/>
      <c r="C153" s="165" t="s">
        <v>186</v>
      </c>
      <c r="D153" s="62"/>
      <c r="E153" s="62"/>
      <c r="F153" s="62"/>
      <c r="G153" s="62"/>
      <c r="H153" s="62"/>
      <c r="I153" s="62"/>
      <c r="J153" s="62"/>
      <c r="K153" s="220">
        <f>N36+O36</f>
        <v>4460530.5205479451</v>
      </c>
      <c r="L153" s="221"/>
      <c r="M153" s="221"/>
      <c r="N153" s="244">
        <f>N149-Q149</f>
        <v>85047068.598867372</v>
      </c>
      <c r="O153" s="244"/>
      <c r="P153" s="244"/>
      <c r="Q153" s="218">
        <f t="shared" si="20"/>
        <v>4460530.5205479451</v>
      </c>
      <c r="R153" s="219"/>
      <c r="S153" s="9"/>
    </row>
    <row r="154" spans="2:19">
      <c r="B154" s="5"/>
      <c r="C154" s="165" t="s">
        <v>187</v>
      </c>
      <c r="D154" s="62"/>
      <c r="E154" s="62"/>
      <c r="F154" s="62"/>
      <c r="G154" s="62"/>
      <c r="H154" s="62"/>
      <c r="I154" s="62"/>
      <c r="J154" s="62"/>
      <c r="K154" s="220">
        <f>P36+R36+Q36</f>
        <v>1317990.1369863015</v>
      </c>
      <c r="L154" s="221"/>
      <c r="M154" s="221"/>
      <c r="N154" s="244">
        <f>N153-Q153</f>
        <v>80586538.07831943</v>
      </c>
      <c r="O154" s="244"/>
      <c r="P154" s="244"/>
      <c r="Q154" s="218">
        <f t="shared" si="20"/>
        <v>1317990.1369863015</v>
      </c>
      <c r="R154" s="219"/>
      <c r="S154" s="9"/>
    </row>
    <row r="155" spans="2:19">
      <c r="B155" s="5"/>
      <c r="C155" s="165" t="s">
        <v>188</v>
      </c>
      <c r="D155" s="62"/>
      <c r="E155" s="62"/>
      <c r="F155" s="62"/>
      <c r="G155" s="62"/>
      <c r="H155" s="62"/>
      <c r="I155" s="62"/>
      <c r="J155" s="62"/>
      <c r="K155" s="220">
        <v>0</v>
      </c>
      <c r="L155" s="221"/>
      <c r="M155" s="221"/>
      <c r="N155" s="244">
        <f>N154-Q154</f>
        <v>79268547.94133313</v>
      </c>
      <c r="O155" s="244"/>
      <c r="P155" s="244"/>
      <c r="Q155" s="218">
        <f t="shared" si="20"/>
        <v>0</v>
      </c>
      <c r="R155" s="219"/>
      <c r="S155" s="9"/>
    </row>
    <row r="156" spans="2:19">
      <c r="B156" s="5"/>
      <c r="C156" s="165" t="s">
        <v>189</v>
      </c>
      <c r="D156" s="62"/>
      <c r="E156" s="62"/>
      <c r="F156" s="62"/>
      <c r="G156" s="62"/>
      <c r="H156" s="62"/>
      <c r="I156" s="62"/>
      <c r="J156" s="62"/>
      <c r="K156" s="220">
        <v>0</v>
      </c>
      <c r="L156" s="221"/>
      <c r="M156" s="221"/>
      <c r="N156" s="244">
        <f>N155-Q155</f>
        <v>79268547.94133313</v>
      </c>
      <c r="O156" s="244"/>
      <c r="P156" s="244"/>
      <c r="Q156" s="218">
        <f t="shared" si="20"/>
        <v>0</v>
      </c>
      <c r="R156" s="219"/>
      <c r="S156" s="9"/>
    </row>
    <row r="157" spans="2:19">
      <c r="B157" s="5"/>
      <c r="C157" s="165" t="s">
        <v>190</v>
      </c>
      <c r="D157" s="62"/>
      <c r="E157" s="62"/>
      <c r="F157" s="62"/>
      <c r="G157" s="62"/>
      <c r="H157" s="62"/>
      <c r="I157" s="62"/>
      <c r="J157" s="62"/>
      <c r="K157" s="220">
        <v>0</v>
      </c>
      <c r="L157" s="221"/>
      <c r="M157" s="221"/>
      <c r="N157" s="244">
        <f>N156-Q156</f>
        <v>79268547.94133313</v>
      </c>
      <c r="O157" s="244"/>
      <c r="P157" s="244"/>
      <c r="Q157" s="218">
        <f t="shared" si="20"/>
        <v>0</v>
      </c>
      <c r="R157" s="219"/>
      <c r="S157" s="9"/>
    </row>
    <row r="158" spans="2:19">
      <c r="B158" s="5"/>
      <c r="C158" s="165" t="s">
        <v>191</v>
      </c>
      <c r="D158" s="62"/>
      <c r="E158" s="62"/>
      <c r="F158" s="62"/>
      <c r="G158" s="62"/>
      <c r="H158" s="62"/>
      <c r="I158" s="62"/>
      <c r="J158" s="62"/>
      <c r="K158" s="220">
        <f>O201</f>
        <v>0</v>
      </c>
      <c r="L158" s="221"/>
      <c r="M158" s="221"/>
      <c r="N158" s="244">
        <f>N154-Q154</f>
        <v>79268547.94133313</v>
      </c>
      <c r="O158" s="244"/>
      <c r="P158" s="244"/>
      <c r="Q158" s="218">
        <f t="shared" si="20"/>
        <v>0</v>
      </c>
      <c r="R158" s="219"/>
      <c r="S158" s="9"/>
    </row>
    <row r="159" spans="2:19">
      <c r="B159" s="5"/>
      <c r="C159" s="135" t="s">
        <v>192</v>
      </c>
      <c r="D159" s="106"/>
      <c r="E159" s="106"/>
      <c r="F159" s="106"/>
      <c r="G159" s="106"/>
      <c r="H159" s="106"/>
      <c r="I159" s="106"/>
      <c r="J159" s="106"/>
      <c r="K159" s="220">
        <f>SUM(K160,K164:L165)</f>
        <v>38126572.645104833</v>
      </c>
      <c r="L159" s="221"/>
      <c r="M159" s="221"/>
      <c r="N159" s="116">
        <f>N158-Q158</f>
        <v>79268547.94133313</v>
      </c>
      <c r="O159" s="117"/>
      <c r="P159" s="242"/>
      <c r="Q159" s="222">
        <f>SUM(Q160,O164:P165)</f>
        <v>38126572.645104833</v>
      </c>
      <c r="R159" s="225"/>
      <c r="S159" s="9"/>
    </row>
    <row r="160" spans="2:19">
      <c r="B160" s="5"/>
      <c r="C160" s="86" t="s">
        <v>193</v>
      </c>
      <c r="D160" s="66"/>
      <c r="E160" s="66"/>
      <c r="F160" s="66"/>
      <c r="G160" s="66"/>
      <c r="H160" s="66"/>
      <c r="I160" s="66"/>
      <c r="J160" s="66"/>
      <c r="K160" s="226">
        <f>SUM(K161:L163)</f>
        <v>38126572.645104833</v>
      </c>
      <c r="L160" s="227"/>
      <c r="M160" s="245"/>
      <c r="N160" s="116">
        <f>K160/$K$159*N159</f>
        <v>79268547.94133313</v>
      </c>
      <c r="O160" s="117"/>
      <c r="P160" s="243"/>
      <c r="Q160" s="119">
        <f t="shared" ref="Q160:Q167" si="21">K160</f>
        <v>38126572.645104833</v>
      </c>
      <c r="R160" s="246"/>
      <c r="S160" s="9"/>
    </row>
    <row r="161" spans="2:19">
      <c r="B161" s="5"/>
      <c r="C161" s="132" t="s">
        <v>194</v>
      </c>
      <c r="D161" s="66"/>
      <c r="E161" s="66"/>
      <c r="F161" s="66"/>
      <c r="G161" s="66"/>
      <c r="H161" s="66"/>
      <c r="I161" s="66"/>
      <c r="J161" s="66"/>
      <c r="K161" s="226">
        <f>P99</f>
        <v>38126572.645104833</v>
      </c>
      <c r="L161" s="227"/>
      <c r="M161" s="245"/>
      <c r="N161" s="116">
        <f>K161/$K$159*N159</f>
        <v>79268547.94133313</v>
      </c>
      <c r="O161" s="117"/>
      <c r="P161" s="243"/>
      <c r="Q161" s="119">
        <f t="shared" si="21"/>
        <v>38126572.645104833</v>
      </c>
      <c r="R161" s="246"/>
      <c r="S161" s="9"/>
    </row>
    <row r="162" spans="2:19">
      <c r="B162" s="5"/>
      <c r="C162" s="132" t="s">
        <v>195</v>
      </c>
      <c r="D162" s="66"/>
      <c r="E162" s="66"/>
      <c r="F162" s="66"/>
      <c r="G162" s="66"/>
      <c r="H162" s="66"/>
      <c r="I162" s="66"/>
      <c r="J162" s="66"/>
      <c r="K162" s="226">
        <v>0</v>
      </c>
      <c r="L162" s="227"/>
      <c r="M162" s="245"/>
      <c r="N162" s="116">
        <f>K162/$K$159*N159</f>
        <v>0</v>
      </c>
      <c r="O162" s="117"/>
      <c r="P162" s="243"/>
      <c r="Q162" s="119">
        <f t="shared" si="21"/>
        <v>0</v>
      </c>
      <c r="R162" s="246"/>
      <c r="S162" s="9"/>
    </row>
    <row r="163" spans="2:19">
      <c r="B163" s="5"/>
      <c r="C163" s="132" t="s">
        <v>26</v>
      </c>
      <c r="D163" s="66"/>
      <c r="E163" s="66"/>
      <c r="F163" s="66"/>
      <c r="G163" s="66"/>
      <c r="H163" s="66"/>
      <c r="I163" s="66"/>
      <c r="J163" s="66"/>
      <c r="K163" s="226">
        <v>0</v>
      </c>
      <c r="L163" s="227"/>
      <c r="M163" s="245"/>
      <c r="N163" s="116">
        <f>K163/$K$159*N159</f>
        <v>0</v>
      </c>
      <c r="O163" s="117"/>
      <c r="P163" s="243"/>
      <c r="Q163" s="119">
        <f t="shared" si="21"/>
        <v>0</v>
      </c>
      <c r="R163" s="246"/>
      <c r="S163" s="9"/>
    </row>
    <row r="164" spans="2:19">
      <c r="B164" s="5"/>
      <c r="C164" s="86" t="s">
        <v>196</v>
      </c>
      <c r="D164" s="66"/>
      <c r="E164" s="66"/>
      <c r="F164" s="66"/>
      <c r="G164" s="66"/>
      <c r="H164" s="66"/>
      <c r="I164" s="66"/>
      <c r="J164" s="66"/>
      <c r="K164" s="226">
        <v>0</v>
      </c>
      <c r="L164" s="227"/>
      <c r="M164" s="245"/>
      <c r="N164" s="116">
        <f>K164/$K$159*N159</f>
        <v>0</v>
      </c>
      <c r="O164" s="117"/>
      <c r="P164" s="243"/>
      <c r="Q164" s="119">
        <f t="shared" si="21"/>
        <v>0</v>
      </c>
      <c r="R164" s="246"/>
      <c r="S164" s="9"/>
    </row>
    <row r="165" spans="2:19">
      <c r="B165" s="5"/>
      <c r="C165" s="127" t="s">
        <v>197</v>
      </c>
      <c r="D165" s="128"/>
      <c r="E165" s="128"/>
      <c r="F165" s="128"/>
      <c r="G165" s="128"/>
      <c r="H165" s="128"/>
      <c r="I165" s="128"/>
      <c r="J165" s="128"/>
      <c r="K165" s="226">
        <v>0</v>
      </c>
      <c r="L165" s="227"/>
      <c r="M165" s="238"/>
      <c r="N165" s="116">
        <f>K165/$K$159*N159</f>
        <v>0</v>
      </c>
      <c r="O165" s="117"/>
      <c r="P165" s="243"/>
      <c r="Q165" s="119">
        <f t="shared" si="21"/>
        <v>0</v>
      </c>
      <c r="R165" s="239"/>
      <c r="S165" s="9"/>
    </row>
    <row r="166" spans="2:19">
      <c r="B166" s="5"/>
      <c r="C166" s="165" t="s">
        <v>198</v>
      </c>
      <c r="D166" s="62"/>
      <c r="E166" s="62"/>
      <c r="F166" s="62"/>
      <c r="G166" s="62"/>
      <c r="H166" s="62"/>
      <c r="I166" s="62"/>
      <c r="J166" s="62"/>
      <c r="K166" s="220">
        <f>O192</f>
        <v>33057621.237</v>
      </c>
      <c r="L166" s="221"/>
      <c r="M166" s="221"/>
      <c r="N166" s="244">
        <f>N159-Q159</f>
        <v>41141975.296228297</v>
      </c>
      <c r="O166" s="244"/>
      <c r="P166" s="244"/>
      <c r="Q166" s="218">
        <f t="shared" si="21"/>
        <v>33057621.237</v>
      </c>
      <c r="R166" s="219"/>
      <c r="S166" s="9"/>
    </row>
    <row r="167" spans="2:19">
      <c r="B167" s="5"/>
      <c r="C167" s="165" t="s">
        <v>199</v>
      </c>
      <c r="D167" s="62"/>
      <c r="E167" s="62"/>
      <c r="F167" s="62"/>
      <c r="G167" s="62"/>
      <c r="H167" s="62"/>
      <c r="I167" s="62"/>
      <c r="J167" s="62"/>
      <c r="K167" s="220">
        <v>0</v>
      </c>
      <c r="L167" s="221"/>
      <c r="M167" s="221"/>
      <c r="N167" s="247">
        <f>N166-Q166</f>
        <v>8084354.0592282973</v>
      </c>
      <c r="O167" s="247"/>
      <c r="P167" s="247"/>
      <c r="Q167" s="218">
        <f t="shared" si="21"/>
        <v>0</v>
      </c>
      <c r="R167" s="219"/>
      <c r="S167" s="9"/>
    </row>
    <row r="168" spans="2:19">
      <c r="B168" s="5"/>
      <c r="C168" s="135" t="s">
        <v>200</v>
      </c>
      <c r="D168" s="106"/>
      <c r="E168" s="106"/>
      <c r="F168" s="106"/>
      <c r="G168" s="106"/>
      <c r="H168" s="106"/>
      <c r="I168" s="106"/>
      <c r="J168" s="106"/>
      <c r="K168" s="220">
        <f>SUM(K169:L170)</f>
        <v>0</v>
      </c>
      <c r="L168" s="221"/>
      <c r="M168" s="221"/>
      <c r="N168" s="222">
        <f>N167-Q167</f>
        <v>8084354.0592282973</v>
      </c>
      <c r="O168" s="223"/>
      <c r="P168" s="224"/>
      <c r="Q168" s="223">
        <f>SUM(O169:P170)</f>
        <v>0</v>
      </c>
      <c r="R168" s="225"/>
      <c r="S168" s="9"/>
    </row>
    <row r="169" spans="2:19">
      <c r="B169" s="5"/>
      <c r="C169" s="86" t="s">
        <v>196</v>
      </c>
      <c r="D169" s="66"/>
      <c r="E169" s="66"/>
      <c r="F169" s="66"/>
      <c r="G169" s="66"/>
      <c r="H169" s="66"/>
      <c r="I169" s="66"/>
      <c r="J169" s="66"/>
      <c r="K169" s="226">
        <v>0</v>
      </c>
      <c r="L169" s="227"/>
      <c r="M169" s="228"/>
      <c r="N169" s="116">
        <f>IFERROR(K169/$K$168*$N$168,0)</f>
        <v>0</v>
      </c>
      <c r="O169" s="117"/>
      <c r="P169" s="229"/>
      <c r="Q169" s="243">
        <f>K169</f>
        <v>0</v>
      </c>
      <c r="R169" s="230"/>
      <c r="S169" s="9"/>
    </row>
    <row r="170" spans="2:19">
      <c r="B170" s="5"/>
      <c r="C170" s="127" t="s">
        <v>197</v>
      </c>
      <c r="D170" s="128"/>
      <c r="E170" s="128"/>
      <c r="F170" s="128"/>
      <c r="G170" s="128"/>
      <c r="H170" s="128"/>
      <c r="I170" s="128"/>
      <c r="J170" s="128"/>
      <c r="K170" s="226">
        <v>0</v>
      </c>
      <c r="L170" s="227"/>
      <c r="M170" s="228"/>
      <c r="N170" s="142">
        <f>IFERROR(K170/$K$168*$N$168,0)</f>
        <v>0</v>
      </c>
      <c r="O170" s="143"/>
      <c r="P170" s="232"/>
      <c r="Q170" s="243">
        <f>K170</f>
        <v>0</v>
      </c>
      <c r="R170" s="230"/>
      <c r="S170" s="9"/>
    </row>
    <row r="171" spans="2:19">
      <c r="B171" s="5"/>
      <c r="C171" s="165" t="s">
        <v>201</v>
      </c>
      <c r="D171" s="128"/>
      <c r="E171" s="128"/>
      <c r="F171" s="128"/>
      <c r="G171" s="128"/>
      <c r="H171" s="128"/>
      <c r="I171" s="128"/>
      <c r="J171" s="128"/>
      <c r="K171" s="220">
        <v>0</v>
      </c>
      <c r="L171" s="221"/>
      <c r="M171" s="221"/>
      <c r="N171" s="222">
        <f>N168-Q168</f>
        <v>8084354.0592282973</v>
      </c>
      <c r="O171" s="223"/>
      <c r="P171" s="224"/>
      <c r="Q171" s="218">
        <f>K171</f>
        <v>0</v>
      </c>
      <c r="R171" s="219"/>
      <c r="S171" s="9"/>
    </row>
    <row r="172" spans="2:19">
      <c r="B172" s="5"/>
      <c r="C172" s="165" t="s">
        <v>202</v>
      </c>
      <c r="D172" s="62"/>
      <c r="E172" s="62"/>
      <c r="F172" s="62"/>
      <c r="G172" s="62"/>
      <c r="H172" s="62"/>
      <c r="I172" s="62"/>
      <c r="J172" s="62"/>
      <c r="K172" s="220">
        <v>0</v>
      </c>
      <c r="L172" s="221"/>
      <c r="M172" s="221"/>
      <c r="N172" s="222">
        <f>N171-Q171</f>
        <v>8084354.0592282973</v>
      </c>
      <c r="O172" s="223"/>
      <c r="P172" s="224"/>
      <c r="Q172" s="218">
        <f>K172</f>
        <v>0</v>
      </c>
      <c r="R172" s="219"/>
      <c r="S172" s="9"/>
    </row>
    <row r="173" spans="2:19">
      <c r="B173" s="5"/>
      <c r="C173" s="135" t="s">
        <v>203</v>
      </c>
      <c r="D173" s="106"/>
      <c r="E173" s="106"/>
      <c r="F173" s="106"/>
      <c r="G173" s="106"/>
      <c r="H173" s="106"/>
      <c r="I173" s="106"/>
      <c r="J173" s="106"/>
      <c r="K173" s="220">
        <f>SUM(K174:M174)</f>
        <v>0</v>
      </c>
      <c r="L173" s="221"/>
      <c r="M173" s="221"/>
      <c r="N173" s="222">
        <f>N172-Q172</f>
        <v>8084354.0592282973</v>
      </c>
      <c r="O173" s="223"/>
      <c r="P173" s="224"/>
      <c r="Q173" s="223">
        <f>SUM(Q174)</f>
        <v>0</v>
      </c>
      <c r="R173" s="225"/>
      <c r="S173" s="9"/>
    </row>
    <row r="174" spans="2:19">
      <c r="B174" s="5"/>
      <c r="C174" s="127" t="s">
        <v>197</v>
      </c>
      <c r="D174" s="128"/>
      <c r="E174" s="128"/>
      <c r="F174" s="128"/>
      <c r="G174" s="128"/>
      <c r="H174" s="128"/>
      <c r="I174" s="128"/>
      <c r="J174" s="128"/>
      <c r="K174" s="226">
        <v>0</v>
      </c>
      <c r="L174" s="227"/>
      <c r="M174" s="228"/>
      <c r="N174" s="142">
        <f>N173</f>
        <v>8084354.0592282973</v>
      </c>
      <c r="O174" s="143"/>
      <c r="P174" s="232"/>
      <c r="Q174" s="243">
        <f>K174</f>
        <v>0</v>
      </c>
      <c r="R174" s="230"/>
      <c r="S174" s="9"/>
    </row>
    <row r="175" spans="2:19">
      <c r="B175" s="5"/>
      <c r="C175" s="165" t="s">
        <v>204</v>
      </c>
      <c r="D175" s="62"/>
      <c r="E175" s="62"/>
      <c r="F175" s="62"/>
      <c r="G175" s="62"/>
      <c r="H175" s="62"/>
      <c r="I175" s="62"/>
      <c r="J175" s="62"/>
      <c r="K175" s="220">
        <v>0</v>
      </c>
      <c r="L175" s="221"/>
      <c r="M175" s="221"/>
      <c r="N175" s="116">
        <f>N173-Q173</f>
        <v>8084354.0592282973</v>
      </c>
      <c r="O175" s="117"/>
      <c r="P175" s="242"/>
      <c r="Q175" s="218">
        <f>K175</f>
        <v>0</v>
      </c>
      <c r="R175" s="219"/>
      <c r="S175" s="9"/>
    </row>
    <row r="176" spans="2:19">
      <c r="B176" s="5"/>
      <c r="C176" s="165" t="s">
        <v>205</v>
      </c>
      <c r="D176" s="62"/>
      <c r="E176" s="62"/>
      <c r="F176" s="62"/>
      <c r="G176" s="62"/>
      <c r="H176" s="62"/>
      <c r="I176" s="62"/>
      <c r="J176" s="62"/>
      <c r="K176" s="220">
        <v>0</v>
      </c>
      <c r="L176" s="221"/>
      <c r="M176" s="221"/>
      <c r="N176" s="222">
        <f>N175-Q175</f>
        <v>8084354.0592282973</v>
      </c>
      <c r="O176" s="223"/>
      <c r="P176" s="224"/>
      <c r="Q176" s="218">
        <f>K176</f>
        <v>0</v>
      </c>
      <c r="R176" s="219"/>
      <c r="S176" s="9"/>
    </row>
    <row r="177" spans="2:19">
      <c r="B177" s="5"/>
      <c r="C177" s="165" t="s">
        <v>206</v>
      </c>
      <c r="D177" s="62"/>
      <c r="E177" s="62"/>
      <c r="F177" s="62"/>
      <c r="G177" s="62"/>
      <c r="H177" s="62"/>
      <c r="I177" s="62"/>
      <c r="J177" s="62"/>
      <c r="K177" s="220">
        <v>0</v>
      </c>
      <c r="L177" s="221"/>
      <c r="M177" s="221"/>
      <c r="N177" s="218">
        <f>N176-Q176</f>
        <v>8084354.0592282973</v>
      </c>
      <c r="O177" s="240"/>
      <c r="P177" s="241"/>
      <c r="Q177" s="218">
        <f>K177</f>
        <v>0</v>
      </c>
      <c r="R177" s="219"/>
      <c r="S177" s="9"/>
    </row>
    <row r="178" spans="2:19">
      <c r="B178" s="5"/>
      <c r="C178" s="135" t="s">
        <v>207</v>
      </c>
      <c r="D178" s="106"/>
      <c r="E178" s="106"/>
      <c r="F178" s="106"/>
      <c r="G178" s="106"/>
      <c r="H178" s="106"/>
      <c r="I178" s="106"/>
      <c r="J178" s="106"/>
      <c r="K178" s="220">
        <f>SUM(K179:L181)</f>
        <v>5626964.7739289319</v>
      </c>
      <c r="L178" s="221"/>
      <c r="M178" s="221"/>
      <c r="N178" s="116">
        <f>N177-Q177</f>
        <v>8084354.0592282973</v>
      </c>
      <c r="O178" s="117"/>
      <c r="P178" s="242"/>
      <c r="Q178" s="222">
        <f>SUM(Q179:Q181)</f>
        <v>5626964.7739289319</v>
      </c>
      <c r="R178" s="225"/>
      <c r="S178" s="9"/>
    </row>
    <row r="179" spans="2:19">
      <c r="B179" s="5"/>
      <c r="C179" s="86" t="s">
        <v>208</v>
      </c>
      <c r="D179" s="66"/>
      <c r="E179" s="66"/>
      <c r="F179" s="66"/>
      <c r="G179" s="66"/>
      <c r="H179" s="66"/>
      <c r="I179" s="66"/>
      <c r="J179" s="66"/>
      <c r="K179" s="226">
        <f>O212</f>
        <v>5626964.7739289319</v>
      </c>
      <c r="L179" s="227"/>
      <c r="M179" s="228"/>
      <c r="N179" s="116">
        <f>K179/$K$178*N178</f>
        <v>8084354.0592282973</v>
      </c>
      <c r="O179" s="117"/>
      <c r="P179" s="243"/>
      <c r="Q179" s="119">
        <f>K179</f>
        <v>5626964.7739289319</v>
      </c>
      <c r="R179" s="230"/>
      <c r="S179" s="9"/>
    </row>
    <row r="180" spans="2:19">
      <c r="B180" s="5"/>
      <c r="C180" s="86" t="s">
        <v>209</v>
      </c>
      <c r="D180" s="66"/>
      <c r="E180" s="66"/>
      <c r="F180" s="66"/>
      <c r="G180" s="66"/>
      <c r="H180" s="66"/>
      <c r="I180" s="66"/>
      <c r="J180" s="66"/>
      <c r="K180" s="226">
        <v>0</v>
      </c>
      <c r="L180" s="227"/>
      <c r="M180" s="228"/>
      <c r="N180" s="116">
        <f>K180/$K$178*N179</f>
        <v>0</v>
      </c>
      <c r="O180" s="117"/>
      <c r="P180" s="243"/>
      <c r="Q180" s="119">
        <f>K180</f>
        <v>0</v>
      </c>
      <c r="R180" s="230"/>
      <c r="S180" s="9"/>
    </row>
    <row r="181" spans="2:19">
      <c r="B181" s="5"/>
      <c r="C181" s="127" t="s">
        <v>210</v>
      </c>
      <c r="D181" s="128"/>
      <c r="E181" s="128"/>
      <c r="F181" s="128"/>
      <c r="G181" s="128"/>
      <c r="H181" s="128"/>
      <c r="I181" s="128"/>
      <c r="J181" s="128"/>
      <c r="K181" s="226">
        <v>0</v>
      </c>
      <c r="L181" s="227"/>
      <c r="M181" s="228"/>
      <c r="N181" s="116">
        <f>K181/$K$178*N178</f>
        <v>0</v>
      </c>
      <c r="O181" s="117"/>
      <c r="P181" s="243"/>
      <c r="Q181" s="119">
        <f>K181</f>
        <v>0</v>
      </c>
      <c r="R181" s="230"/>
      <c r="S181" s="9"/>
    </row>
    <row r="182" spans="2:19">
      <c r="B182" s="5"/>
      <c r="C182" s="165" t="s">
        <v>211</v>
      </c>
      <c r="D182" s="62"/>
      <c r="E182" s="62"/>
      <c r="F182" s="62"/>
      <c r="G182" s="62"/>
      <c r="H182" s="62"/>
      <c r="I182" s="62"/>
      <c r="J182" s="62"/>
      <c r="K182" s="220">
        <v>0</v>
      </c>
      <c r="L182" s="221"/>
      <c r="M182" s="221"/>
      <c r="N182" s="218">
        <f>N178-Q178</f>
        <v>2457389.2852993654</v>
      </c>
      <c r="O182" s="240"/>
      <c r="P182" s="241"/>
      <c r="Q182" s="218">
        <f>K182</f>
        <v>0</v>
      </c>
      <c r="R182" s="219"/>
      <c r="S182" s="9"/>
    </row>
    <row r="183" spans="2:19">
      <c r="B183" s="5"/>
      <c r="C183" s="165" t="s">
        <v>212</v>
      </c>
      <c r="D183" s="62"/>
      <c r="E183" s="62"/>
      <c r="F183" s="62"/>
      <c r="G183" s="62"/>
      <c r="H183" s="62"/>
      <c r="I183" s="62"/>
      <c r="J183" s="62"/>
      <c r="K183" s="51">
        <v>2457389.4</v>
      </c>
      <c r="L183" s="248"/>
      <c r="M183" s="249"/>
      <c r="N183" s="218">
        <f>N178-Q178</f>
        <v>2457389.2852993654</v>
      </c>
      <c r="O183" s="240"/>
      <c r="P183" s="241"/>
      <c r="Q183" s="218">
        <f>K183</f>
        <v>2457389.4</v>
      </c>
      <c r="R183" s="219"/>
      <c r="S183" s="9"/>
    </row>
    <row r="184" spans="2:19" ht="15.75" thickBot="1">
      <c r="B184" s="5"/>
      <c r="C184" s="250" t="s">
        <v>213</v>
      </c>
      <c r="D184" s="251"/>
      <c r="E184" s="252"/>
      <c r="F184" s="251"/>
      <c r="G184" s="251"/>
      <c r="H184" s="251"/>
      <c r="I184" s="251"/>
      <c r="J184" s="252"/>
      <c r="K184" s="253">
        <f>SUM(K136,K137,K140,K143,K147,K148,K149,K153:M159,K166:M168,K171:M173,K175:M178,K182:M183)</f>
        <v>116090523.74702063</v>
      </c>
      <c r="L184" s="254"/>
      <c r="M184" s="255"/>
      <c r="N184" s="253">
        <f>N136</f>
        <v>116090523.63231999</v>
      </c>
      <c r="O184" s="254"/>
      <c r="P184" s="255"/>
      <c r="Q184" s="256">
        <f>N184</f>
        <v>116090523.63231999</v>
      </c>
      <c r="R184" s="257"/>
      <c r="S184" s="9"/>
    </row>
    <row r="185" spans="2:19" ht="15.75" thickBot="1">
      <c r="B185" s="5"/>
      <c r="C185" s="151"/>
      <c r="D185" s="13"/>
      <c r="E185" s="13"/>
      <c r="F185" s="13"/>
      <c r="G185" s="13"/>
      <c r="H185" s="13"/>
      <c r="I185" s="13"/>
      <c r="J185" s="13"/>
      <c r="K185" s="13"/>
      <c r="L185" s="13"/>
      <c r="M185" s="13"/>
      <c r="N185" s="13"/>
      <c r="O185" s="13"/>
      <c r="P185" s="13"/>
      <c r="Q185" s="13"/>
      <c r="R185" s="13"/>
      <c r="S185" s="9"/>
    </row>
    <row r="186" spans="2:19">
      <c r="B186" s="5"/>
      <c r="C186" s="98" t="s">
        <v>214</v>
      </c>
      <c r="D186" s="99"/>
      <c r="E186" s="99"/>
      <c r="F186" s="99"/>
      <c r="G186" s="99"/>
      <c r="H186" s="99"/>
      <c r="I186" s="99"/>
      <c r="J186" s="99"/>
      <c r="K186" s="99"/>
      <c r="L186" s="99"/>
      <c r="M186" s="99"/>
      <c r="N186" s="99"/>
      <c r="O186" s="99"/>
      <c r="P186" s="99"/>
      <c r="Q186" s="99"/>
      <c r="R186" s="100"/>
      <c r="S186" s="9"/>
    </row>
    <row r="187" spans="2:19">
      <c r="B187" s="5"/>
      <c r="C187" s="165" t="s">
        <v>215</v>
      </c>
      <c r="D187" s="258"/>
      <c r="E187" s="258"/>
      <c r="F187" s="258"/>
      <c r="G187" s="258"/>
      <c r="H187" s="258"/>
      <c r="I187" s="258"/>
      <c r="J187" s="258"/>
      <c r="K187" s="258"/>
      <c r="L187" s="258"/>
      <c r="M187" s="258"/>
      <c r="N187" s="259"/>
      <c r="O187" s="240">
        <v>24669669.745499998</v>
      </c>
      <c r="P187" s="240"/>
      <c r="Q187" s="240"/>
      <c r="R187" s="219"/>
      <c r="S187" s="9"/>
    </row>
    <row r="188" spans="2:19">
      <c r="B188" s="5"/>
      <c r="C188" s="165" t="s">
        <v>216</v>
      </c>
      <c r="D188" s="40"/>
      <c r="E188" s="40"/>
      <c r="F188" s="40"/>
      <c r="G188" s="40"/>
      <c r="H188" s="40"/>
      <c r="I188" s="40"/>
      <c r="J188" s="40"/>
      <c r="K188" s="40"/>
      <c r="L188" s="40"/>
      <c r="M188" s="40"/>
      <c r="N188" s="45"/>
      <c r="O188" s="218">
        <f>O187</f>
        <v>24669669.745499998</v>
      </c>
      <c r="P188" s="240"/>
      <c r="Q188" s="240"/>
      <c r="R188" s="219"/>
      <c r="S188" s="9"/>
    </row>
    <row r="189" spans="2:19">
      <c r="B189" s="5"/>
      <c r="C189" s="44" t="s">
        <v>217</v>
      </c>
      <c r="D189" s="40"/>
      <c r="E189" s="40"/>
      <c r="F189" s="40"/>
      <c r="G189" s="40"/>
      <c r="H189" s="40"/>
      <c r="I189" s="40"/>
      <c r="J189" s="40"/>
      <c r="K189" s="40"/>
      <c r="L189" s="40"/>
      <c r="M189" s="40"/>
      <c r="N189" s="45"/>
      <c r="O189" s="218">
        <v>33057621.237</v>
      </c>
      <c r="P189" s="240"/>
      <c r="Q189" s="240"/>
      <c r="R189" s="219"/>
      <c r="S189" s="9"/>
    </row>
    <row r="190" spans="2:19">
      <c r="B190" s="5"/>
      <c r="C190" s="44" t="s">
        <v>218</v>
      </c>
      <c r="D190" s="40"/>
      <c r="E190" s="40"/>
      <c r="F190" s="40"/>
      <c r="G190" s="40"/>
      <c r="H190" s="40"/>
      <c r="I190" s="40"/>
      <c r="J190" s="40"/>
      <c r="K190" s="40"/>
      <c r="L190" s="40"/>
      <c r="M190" s="40"/>
      <c r="N190" s="45"/>
      <c r="O190" s="218">
        <f>O189</f>
        <v>33057621.237</v>
      </c>
      <c r="P190" s="240"/>
      <c r="Q190" s="240"/>
      <c r="R190" s="219"/>
      <c r="S190" s="9"/>
    </row>
    <row r="191" spans="2:19">
      <c r="B191" s="5"/>
      <c r="C191" s="44" t="s">
        <v>219</v>
      </c>
      <c r="D191" s="40"/>
      <c r="E191" s="40"/>
      <c r="F191" s="40"/>
      <c r="G191" s="40"/>
      <c r="H191" s="40"/>
      <c r="I191" s="40"/>
      <c r="J191" s="40"/>
      <c r="K191" s="40"/>
      <c r="L191" s="40"/>
      <c r="M191" s="40"/>
      <c r="N191" s="45"/>
      <c r="O191" s="218">
        <v>0</v>
      </c>
      <c r="P191" s="240"/>
      <c r="Q191" s="240"/>
      <c r="R191" s="219"/>
      <c r="S191" s="9"/>
    </row>
    <row r="192" spans="2:19" ht="15.75" thickBot="1">
      <c r="B192" s="5"/>
      <c r="C192" s="54" t="s">
        <v>220</v>
      </c>
      <c r="D192" s="55"/>
      <c r="E192" s="55"/>
      <c r="F192" s="55"/>
      <c r="G192" s="55"/>
      <c r="H192" s="55"/>
      <c r="I192" s="55"/>
      <c r="J192" s="55"/>
      <c r="K192" s="55"/>
      <c r="L192" s="55"/>
      <c r="M192" s="55"/>
      <c r="N192" s="169"/>
      <c r="O192" s="260">
        <f>O190</f>
        <v>33057621.237</v>
      </c>
      <c r="P192" s="261"/>
      <c r="Q192" s="261"/>
      <c r="R192" s="262"/>
      <c r="S192" s="9"/>
    </row>
    <row r="193" spans="2:19" ht="15.75" thickBot="1">
      <c r="B193" s="5"/>
      <c r="C193" s="13"/>
      <c r="D193" s="13"/>
      <c r="E193" s="13"/>
      <c r="F193" s="13"/>
      <c r="G193" s="13"/>
      <c r="H193" s="13"/>
      <c r="I193" s="13"/>
      <c r="J193" s="13"/>
      <c r="K193" s="13"/>
      <c r="L193" s="13"/>
      <c r="M193" s="13"/>
      <c r="N193" s="13"/>
      <c r="O193" s="13"/>
      <c r="P193" s="13"/>
      <c r="Q193" s="13"/>
      <c r="R193" s="13"/>
      <c r="S193" s="9"/>
    </row>
    <row r="194" spans="2:19">
      <c r="B194" s="5"/>
      <c r="C194" s="263" t="s">
        <v>221</v>
      </c>
      <c r="D194" s="264"/>
      <c r="E194" s="264"/>
      <c r="F194" s="264"/>
      <c r="G194" s="264"/>
      <c r="H194" s="264"/>
      <c r="I194" s="264"/>
      <c r="J194" s="264"/>
      <c r="K194" s="264"/>
      <c r="L194" s="264"/>
      <c r="M194" s="264"/>
      <c r="N194" s="264"/>
      <c r="O194" s="264"/>
      <c r="P194" s="264"/>
      <c r="Q194" s="264"/>
      <c r="R194" s="265"/>
      <c r="S194" s="9"/>
    </row>
    <row r="195" spans="2:19">
      <c r="B195" s="5"/>
      <c r="C195" s="165" t="s">
        <v>222</v>
      </c>
      <c r="D195" s="258"/>
      <c r="E195" s="258"/>
      <c r="F195" s="258"/>
      <c r="G195" s="258"/>
      <c r="H195" s="258"/>
      <c r="I195" s="258"/>
      <c r="J195" s="258"/>
      <c r="K195" s="258"/>
      <c r="L195" s="258"/>
      <c r="M195" s="258"/>
      <c r="N195" s="259"/>
      <c r="O195" s="240">
        <v>0</v>
      </c>
      <c r="P195" s="240"/>
      <c r="Q195" s="240"/>
      <c r="R195" s="219"/>
      <c r="S195" s="9"/>
    </row>
    <row r="196" spans="2:19">
      <c r="B196" s="5"/>
      <c r="C196" s="165" t="s">
        <v>223</v>
      </c>
      <c r="D196" s="258"/>
      <c r="E196" s="258"/>
      <c r="F196" s="258"/>
      <c r="G196" s="258"/>
      <c r="H196" s="258"/>
      <c r="I196" s="258"/>
      <c r="J196" s="258"/>
      <c r="K196" s="258"/>
      <c r="L196" s="258"/>
      <c r="M196" s="258"/>
      <c r="N196" s="259"/>
      <c r="O196" s="218">
        <v>0</v>
      </c>
      <c r="P196" s="240"/>
      <c r="Q196" s="240"/>
      <c r="R196" s="219"/>
      <c r="S196" s="9"/>
    </row>
    <row r="197" spans="2:19">
      <c r="B197" s="5"/>
      <c r="C197" s="165" t="s">
        <v>224</v>
      </c>
      <c r="D197" s="258"/>
      <c r="E197" s="258"/>
      <c r="F197" s="258"/>
      <c r="G197" s="258"/>
      <c r="H197" s="258"/>
      <c r="I197" s="258"/>
      <c r="J197" s="258"/>
      <c r="K197" s="258"/>
      <c r="L197" s="258"/>
      <c r="M197" s="258"/>
      <c r="N197" s="259"/>
      <c r="O197" s="218">
        <v>0</v>
      </c>
      <c r="P197" s="240"/>
      <c r="Q197" s="240"/>
      <c r="R197" s="219"/>
      <c r="S197" s="9"/>
    </row>
    <row r="198" spans="2:19">
      <c r="B198" s="5"/>
      <c r="C198" s="165" t="s">
        <v>225</v>
      </c>
      <c r="D198" s="258"/>
      <c r="E198" s="258"/>
      <c r="F198" s="258"/>
      <c r="G198" s="258"/>
      <c r="H198" s="258"/>
      <c r="I198" s="258"/>
      <c r="J198" s="258"/>
      <c r="K198" s="258"/>
      <c r="L198" s="258"/>
      <c r="M198" s="258"/>
      <c r="N198" s="259"/>
      <c r="O198" s="218">
        <f>O195+O196-O197</f>
        <v>0</v>
      </c>
      <c r="P198" s="240"/>
      <c r="Q198" s="240"/>
      <c r="R198" s="219"/>
      <c r="S198" s="9"/>
    </row>
    <row r="199" spans="2:19">
      <c r="B199" s="5"/>
      <c r="C199" s="165" t="s">
        <v>226</v>
      </c>
      <c r="D199" s="258"/>
      <c r="E199" s="258"/>
      <c r="F199" s="258"/>
      <c r="G199" s="258"/>
      <c r="H199" s="258"/>
      <c r="I199" s="258"/>
      <c r="J199" s="258"/>
      <c r="K199" s="258"/>
      <c r="L199" s="258"/>
      <c r="M199" s="258"/>
      <c r="N199" s="259"/>
      <c r="O199" s="218">
        <v>0</v>
      </c>
      <c r="P199" s="240"/>
      <c r="Q199" s="240"/>
      <c r="R199" s="219"/>
      <c r="S199" s="9"/>
    </row>
    <row r="200" spans="2:19">
      <c r="B200" s="5"/>
      <c r="C200" s="165" t="s">
        <v>227</v>
      </c>
      <c r="D200" s="258"/>
      <c r="E200" s="258"/>
      <c r="F200" s="258"/>
      <c r="G200" s="258"/>
      <c r="H200" s="258"/>
      <c r="I200" s="258"/>
      <c r="J200" s="258"/>
      <c r="K200" s="258"/>
      <c r="L200" s="258"/>
      <c r="M200" s="258"/>
      <c r="N200" s="259"/>
      <c r="O200" s="218">
        <v>0</v>
      </c>
      <c r="P200" s="240"/>
      <c r="Q200" s="240"/>
      <c r="R200" s="219"/>
      <c r="S200" s="9"/>
    </row>
    <row r="201" spans="2:19" ht="15.75" thickBot="1">
      <c r="B201" s="5"/>
      <c r="C201" s="266" t="s">
        <v>228</v>
      </c>
      <c r="D201" s="267"/>
      <c r="E201" s="267"/>
      <c r="F201" s="267"/>
      <c r="G201" s="267"/>
      <c r="H201" s="267"/>
      <c r="I201" s="267"/>
      <c r="J201" s="267"/>
      <c r="K201" s="267"/>
      <c r="L201" s="267"/>
      <c r="M201" s="267"/>
      <c r="N201" s="268"/>
      <c r="O201" s="261">
        <f>O198-O199+O200</f>
        <v>0</v>
      </c>
      <c r="P201" s="261"/>
      <c r="Q201" s="261"/>
      <c r="R201" s="262"/>
      <c r="S201" s="9"/>
    </row>
    <row r="202" spans="2:19" ht="15.75" thickBot="1">
      <c r="B202" s="5"/>
      <c r="C202" s="269"/>
      <c r="D202" s="270"/>
      <c r="E202" s="270"/>
      <c r="F202" s="270"/>
      <c r="G202" s="270"/>
      <c r="H202" s="270"/>
      <c r="I202" s="270"/>
      <c r="J202" s="270"/>
      <c r="K202" s="270"/>
      <c r="L202" s="270"/>
      <c r="M202" s="270"/>
      <c r="N202" s="271"/>
      <c r="O202" s="271"/>
      <c r="P202" s="271"/>
      <c r="Q202" s="271"/>
      <c r="R202" s="271"/>
      <c r="S202" s="9"/>
    </row>
    <row r="203" spans="2:19">
      <c r="B203" s="5"/>
      <c r="C203" s="263" t="s">
        <v>229</v>
      </c>
      <c r="D203" s="264"/>
      <c r="E203" s="264"/>
      <c r="F203" s="264"/>
      <c r="G203" s="264"/>
      <c r="H203" s="264"/>
      <c r="I203" s="264"/>
      <c r="J203" s="264"/>
      <c r="K203" s="264"/>
      <c r="L203" s="264"/>
      <c r="M203" s="264"/>
      <c r="N203" s="264"/>
      <c r="O203" s="264"/>
      <c r="P203" s="264"/>
      <c r="Q203" s="264"/>
      <c r="R203" s="265"/>
      <c r="S203" s="9"/>
    </row>
    <row r="204" spans="2:19">
      <c r="B204" s="5"/>
      <c r="C204" s="49" t="s">
        <v>230</v>
      </c>
      <c r="D204" s="40"/>
      <c r="E204" s="258"/>
      <c r="F204" s="258"/>
      <c r="G204" s="258"/>
      <c r="H204" s="258"/>
      <c r="I204" s="258"/>
      <c r="J204" s="258"/>
      <c r="K204" s="258"/>
      <c r="L204" s="258"/>
      <c r="M204" s="272">
        <f>10%</f>
        <v>0.1</v>
      </c>
      <c r="N204" s="273"/>
      <c r="O204" s="273"/>
      <c r="P204" s="273"/>
      <c r="Q204" s="273"/>
      <c r="R204" s="274"/>
      <c r="S204" s="9"/>
    </row>
    <row r="205" spans="2:19">
      <c r="B205" s="5"/>
      <c r="C205" s="44"/>
      <c r="D205" s="62"/>
      <c r="E205" s="62"/>
      <c r="F205" s="62"/>
      <c r="G205" s="62"/>
      <c r="H205" s="62"/>
      <c r="I205" s="62"/>
      <c r="J205" s="62"/>
      <c r="K205" s="208" t="s">
        <v>231</v>
      </c>
      <c r="L205" s="210"/>
      <c r="M205" s="275" t="s">
        <v>232</v>
      </c>
      <c r="N205" s="276"/>
      <c r="O205" s="275" t="s">
        <v>233</v>
      </c>
      <c r="P205" s="276"/>
      <c r="Q205" s="277" t="s">
        <v>234</v>
      </c>
      <c r="R205" s="278"/>
      <c r="S205" s="9"/>
    </row>
    <row r="206" spans="2:19">
      <c r="B206" s="5"/>
      <c r="C206" s="23" t="s">
        <v>235</v>
      </c>
      <c r="D206" s="66"/>
      <c r="E206" s="66"/>
      <c r="F206" s="66"/>
      <c r="G206" s="66"/>
      <c r="H206" s="66"/>
      <c r="I206" s="66"/>
      <c r="J206" s="66"/>
      <c r="K206" s="279">
        <f>J14</f>
        <v>44880</v>
      </c>
      <c r="L206" s="280"/>
      <c r="M206" s="281">
        <f>G29</f>
        <v>6.6170000000000007E-2</v>
      </c>
      <c r="N206" s="282"/>
      <c r="O206" s="283">
        <v>131159650.91499025</v>
      </c>
      <c r="P206" s="284"/>
      <c r="Q206" s="285">
        <f>O206</f>
        <v>131159650.91499025</v>
      </c>
      <c r="R206" s="286"/>
      <c r="S206" s="9"/>
    </row>
    <row r="207" spans="2:19">
      <c r="B207" s="5"/>
      <c r="C207" s="105" t="s">
        <v>236</v>
      </c>
      <c r="D207" s="287"/>
      <c r="E207" s="287"/>
      <c r="F207" s="287"/>
      <c r="G207" s="287"/>
      <c r="H207" s="287"/>
      <c r="I207" s="287"/>
      <c r="J207" s="287"/>
      <c r="K207" s="288"/>
      <c r="L207" s="289"/>
      <c r="M207" s="290"/>
      <c r="N207" s="291"/>
      <c r="O207" s="292">
        <f>SUM(O208:P210)</f>
        <v>4491741.4377279878</v>
      </c>
      <c r="P207" s="292"/>
      <c r="Q207" s="293">
        <f>O207</f>
        <v>4491741.4377279878</v>
      </c>
      <c r="R207" s="294"/>
      <c r="S207" s="9"/>
    </row>
    <row r="208" spans="2:19">
      <c r="B208" s="5"/>
      <c r="C208" s="86" t="s">
        <v>237</v>
      </c>
      <c r="D208" s="66"/>
      <c r="E208" s="66"/>
      <c r="F208" s="66"/>
      <c r="G208" s="66"/>
      <c r="H208" s="66"/>
      <c r="I208" s="66"/>
      <c r="J208" s="66"/>
      <c r="K208" s="295">
        <v>44909</v>
      </c>
      <c r="L208" s="296"/>
      <c r="M208" s="297">
        <f>I29</f>
        <v>7.2169999999999998E-2</v>
      </c>
      <c r="N208" s="298"/>
      <c r="O208" s="299">
        <f>Q62</f>
        <v>4491741.4377279878</v>
      </c>
      <c r="P208" s="299"/>
      <c r="Q208" s="300">
        <f>O208</f>
        <v>4491741.4377279878</v>
      </c>
      <c r="R208" s="301"/>
      <c r="S208" s="9"/>
    </row>
    <row r="209" spans="2:21">
      <c r="B209" s="5"/>
      <c r="C209" s="86" t="s">
        <v>238</v>
      </c>
      <c r="D209" s="66"/>
      <c r="E209" s="66"/>
      <c r="F209" s="66"/>
      <c r="G209" s="66"/>
      <c r="H209" s="66"/>
      <c r="I209" s="66"/>
      <c r="J209" s="66"/>
      <c r="K209" s="295"/>
      <c r="L209" s="296"/>
      <c r="M209" s="297"/>
      <c r="N209" s="298"/>
      <c r="O209" s="299"/>
      <c r="P209" s="299"/>
      <c r="Q209" s="302"/>
      <c r="R209" s="303"/>
      <c r="S209" s="9"/>
    </row>
    <row r="210" spans="2:21">
      <c r="B210" s="5"/>
      <c r="C210" s="86" t="s">
        <v>239</v>
      </c>
      <c r="D210" s="128"/>
      <c r="E210" s="128"/>
      <c r="F210" s="128"/>
      <c r="G210" s="128"/>
      <c r="H210" s="128"/>
      <c r="I210" s="128"/>
      <c r="J210" s="128"/>
      <c r="K210" s="304"/>
      <c r="L210" s="305"/>
      <c r="M210" s="306"/>
      <c r="N210" s="307"/>
      <c r="O210" s="308"/>
      <c r="P210" s="308"/>
      <c r="Q210" s="302"/>
      <c r="R210" s="303"/>
      <c r="S210" s="9"/>
    </row>
    <row r="211" spans="2:21">
      <c r="B211" s="5"/>
      <c r="C211" s="105" t="s">
        <v>240</v>
      </c>
      <c r="D211" s="287"/>
      <c r="E211" s="277"/>
      <c r="F211" s="277"/>
      <c r="G211" s="309"/>
      <c r="H211" s="309"/>
      <c r="I211" s="309"/>
      <c r="J211" s="309"/>
      <c r="K211" s="309"/>
      <c r="L211" s="309"/>
      <c r="M211" s="309"/>
      <c r="N211" s="310"/>
      <c r="O211" s="285">
        <f>Q206+Q207</f>
        <v>135651392.35271823</v>
      </c>
      <c r="P211" s="283"/>
      <c r="Q211" s="283"/>
      <c r="R211" s="286"/>
      <c r="S211" s="9"/>
    </row>
    <row r="212" spans="2:21">
      <c r="B212" s="5"/>
      <c r="C212" s="135" t="s">
        <v>241</v>
      </c>
      <c r="D212" s="153"/>
      <c r="E212" s="153"/>
      <c r="F212" s="153"/>
      <c r="G212" s="153"/>
      <c r="H212" s="153"/>
      <c r="I212" s="153"/>
      <c r="J212" s="153"/>
      <c r="K212" s="153"/>
      <c r="L212" s="153"/>
      <c r="M212" s="153"/>
      <c r="N212" s="154"/>
      <c r="O212" s="285">
        <f>O206*(M206+$M$204)*$J$16/365+O208*(M208+$M$204)*(J15-K208)/365</f>
        <v>5626964.7739289319</v>
      </c>
      <c r="P212" s="283"/>
      <c r="Q212" s="283"/>
      <c r="R212" s="286"/>
      <c r="S212" s="9"/>
      <c r="T212" s="311"/>
      <c r="U212" s="111"/>
    </row>
    <row r="213" spans="2:21">
      <c r="B213" s="5"/>
      <c r="C213" s="135" t="s">
        <v>242</v>
      </c>
      <c r="D213" s="153"/>
      <c r="E213" s="153"/>
      <c r="F213" s="153"/>
      <c r="G213" s="153"/>
      <c r="H213" s="153"/>
      <c r="I213" s="153"/>
      <c r="J213" s="153"/>
      <c r="K213" s="153"/>
      <c r="L213" s="153"/>
      <c r="M213" s="153"/>
      <c r="N213" s="154"/>
      <c r="O213" s="285">
        <v>0</v>
      </c>
      <c r="P213" s="283"/>
      <c r="Q213" s="283"/>
      <c r="R213" s="286"/>
      <c r="S213" s="9"/>
    </row>
    <row r="214" spans="2:21">
      <c r="B214" s="5"/>
      <c r="C214" s="165" t="s">
        <v>243</v>
      </c>
      <c r="D214" s="258"/>
      <c r="E214" s="258"/>
      <c r="F214" s="258"/>
      <c r="G214" s="258"/>
      <c r="H214" s="258"/>
      <c r="I214" s="258"/>
      <c r="J214" s="258"/>
      <c r="K214" s="258"/>
      <c r="L214" s="258"/>
      <c r="M214" s="258"/>
      <c r="N214" s="259"/>
      <c r="O214" s="285">
        <f>Q179</f>
        <v>5626964.7739289319</v>
      </c>
      <c r="P214" s="283"/>
      <c r="Q214" s="283"/>
      <c r="R214" s="286"/>
      <c r="S214" s="9"/>
    </row>
    <row r="215" spans="2:21">
      <c r="B215" s="5"/>
      <c r="C215" s="165" t="s">
        <v>244</v>
      </c>
      <c r="D215" s="258"/>
      <c r="E215" s="258"/>
      <c r="F215" s="258"/>
      <c r="G215" s="258"/>
      <c r="H215" s="258"/>
      <c r="I215" s="258"/>
      <c r="J215" s="258"/>
      <c r="K215" s="258"/>
      <c r="L215" s="258"/>
      <c r="M215" s="258"/>
      <c r="N215" s="259"/>
      <c r="O215" s="285">
        <f>O212-O214</f>
        <v>0</v>
      </c>
      <c r="P215" s="283"/>
      <c r="Q215" s="283"/>
      <c r="R215" s="286"/>
      <c r="S215" s="9"/>
    </row>
    <row r="216" spans="2:21">
      <c r="B216" s="5"/>
      <c r="C216" s="165" t="s">
        <v>245</v>
      </c>
      <c r="D216" s="258"/>
      <c r="E216" s="258"/>
      <c r="F216" s="258"/>
      <c r="G216" s="258"/>
      <c r="H216" s="258"/>
      <c r="I216" s="258"/>
      <c r="J216" s="258"/>
      <c r="K216" s="258"/>
      <c r="L216" s="258"/>
      <c r="M216" s="258"/>
      <c r="N216" s="259"/>
      <c r="O216" s="285">
        <f>K180</f>
        <v>0</v>
      </c>
      <c r="P216" s="283"/>
      <c r="Q216" s="283"/>
      <c r="R216" s="286"/>
      <c r="S216" s="9"/>
    </row>
    <row r="217" spans="2:21">
      <c r="B217" s="5"/>
      <c r="C217" s="165" t="s">
        <v>246</v>
      </c>
      <c r="D217" s="258"/>
      <c r="E217" s="258"/>
      <c r="F217" s="258"/>
      <c r="G217" s="258"/>
      <c r="H217" s="258"/>
      <c r="I217" s="258"/>
      <c r="J217" s="258"/>
      <c r="K217" s="258"/>
      <c r="L217" s="258"/>
      <c r="M217" s="258"/>
      <c r="N217" s="259"/>
      <c r="O217" s="285">
        <v>0</v>
      </c>
      <c r="P217" s="283"/>
      <c r="Q217" s="283"/>
      <c r="R217" s="286"/>
      <c r="S217" s="9"/>
    </row>
    <row r="218" spans="2:21" ht="15.75" thickBot="1">
      <c r="B218" s="5"/>
      <c r="C218" s="168" t="s">
        <v>247</v>
      </c>
      <c r="D218" s="312"/>
      <c r="E218" s="312"/>
      <c r="F218" s="312"/>
      <c r="G218" s="312"/>
      <c r="H218" s="312"/>
      <c r="I218" s="312"/>
      <c r="J218" s="312"/>
      <c r="K218" s="312"/>
      <c r="L218" s="312"/>
      <c r="M218" s="312"/>
      <c r="N218" s="313"/>
      <c r="O218" s="285">
        <f>O211+O215-O216</f>
        <v>135651392.35271823</v>
      </c>
      <c r="P218" s="283"/>
      <c r="Q218" s="283"/>
      <c r="R218" s="286"/>
      <c r="S218" s="9"/>
    </row>
    <row r="219" spans="2:21" ht="15.75" thickBot="1">
      <c r="B219" s="314"/>
      <c r="C219" s="315"/>
      <c r="D219" s="315"/>
      <c r="E219" s="315"/>
      <c r="F219" s="315"/>
      <c r="G219" s="315"/>
      <c r="H219" s="315"/>
      <c r="I219" s="315"/>
      <c r="J219" s="315"/>
      <c r="K219" s="315"/>
      <c r="L219" s="315"/>
      <c r="M219" s="315"/>
      <c r="N219" s="315"/>
      <c r="O219" s="315"/>
      <c r="P219" s="315"/>
      <c r="Q219" s="315"/>
      <c r="R219" s="315"/>
      <c r="S219" s="150"/>
    </row>
    <row r="226" spans="15:17">
      <c r="O226" s="316"/>
    </row>
    <row r="227" spans="15:17">
      <c r="P227" s="53"/>
      <c r="Q227" s="53"/>
    </row>
    <row r="228" spans="15:17">
      <c r="P228" s="317"/>
      <c r="Q228" s="317"/>
    </row>
    <row r="229" spans="15:17">
      <c r="P229" s="152"/>
      <c r="Q229" s="152"/>
    </row>
    <row r="230" spans="15:17">
      <c r="O230" s="316"/>
    </row>
    <row r="231" spans="15:17">
      <c r="P231" s="152"/>
    </row>
    <row r="232" spans="15:17">
      <c r="P232" s="53"/>
      <c r="Q232" s="53"/>
    </row>
    <row r="233" spans="15:17">
      <c r="P233" s="53"/>
      <c r="Q233" s="53"/>
    </row>
    <row r="234" spans="15:17">
      <c r="P234" s="318"/>
      <c r="Q234" s="318"/>
    </row>
    <row r="236" spans="15:17">
      <c r="P236" s="111"/>
      <c r="Q236" s="111"/>
    </row>
    <row r="237" spans="15:17">
      <c r="P237" s="152"/>
    </row>
    <row r="238" spans="15:17">
      <c r="P238" s="318"/>
    </row>
  </sheetData>
  <mergeCells count="263">
    <mergeCell ref="O213:R213"/>
    <mergeCell ref="O214:R214"/>
    <mergeCell ref="O215:R215"/>
    <mergeCell ref="O216:R216"/>
    <mergeCell ref="O217:R217"/>
    <mergeCell ref="O218:R218"/>
    <mergeCell ref="K210:L210"/>
    <mergeCell ref="M210:N210"/>
    <mergeCell ref="O210:P210"/>
    <mergeCell ref="E211:F211"/>
    <mergeCell ref="O211:R211"/>
    <mergeCell ref="O212:R212"/>
    <mergeCell ref="K208:L208"/>
    <mergeCell ref="M208:N208"/>
    <mergeCell ref="O208:P208"/>
    <mergeCell ref="Q208:R208"/>
    <mergeCell ref="K209:L209"/>
    <mergeCell ref="M209:N209"/>
    <mergeCell ref="O209:P209"/>
    <mergeCell ref="K206:L206"/>
    <mergeCell ref="M206:N206"/>
    <mergeCell ref="O206:P206"/>
    <mergeCell ref="Q206:R206"/>
    <mergeCell ref="K207:L207"/>
    <mergeCell ref="M207:N207"/>
    <mergeCell ref="O207:P207"/>
    <mergeCell ref="Q207:R207"/>
    <mergeCell ref="C203:R203"/>
    <mergeCell ref="M204:R204"/>
    <mergeCell ref="K205:L205"/>
    <mergeCell ref="M205:N205"/>
    <mergeCell ref="O205:P205"/>
    <mergeCell ref="Q205:R205"/>
    <mergeCell ref="O196:R196"/>
    <mergeCell ref="O197:R197"/>
    <mergeCell ref="O198:R198"/>
    <mergeCell ref="O199:R199"/>
    <mergeCell ref="O200:R200"/>
    <mergeCell ref="O201:R201"/>
    <mergeCell ref="O189:R189"/>
    <mergeCell ref="O190:R190"/>
    <mergeCell ref="O191:R191"/>
    <mergeCell ref="O192:R192"/>
    <mergeCell ref="C194:R194"/>
    <mergeCell ref="O195:R195"/>
    <mergeCell ref="K184:M184"/>
    <mergeCell ref="N184:P184"/>
    <mergeCell ref="Q184:R184"/>
    <mergeCell ref="C186:R186"/>
    <mergeCell ref="O187:R187"/>
    <mergeCell ref="O188:R188"/>
    <mergeCell ref="K181:L181"/>
    <mergeCell ref="N181:O181"/>
    <mergeCell ref="K182:M182"/>
    <mergeCell ref="N182:P182"/>
    <mergeCell ref="Q182:R182"/>
    <mergeCell ref="K183:M183"/>
    <mergeCell ref="N183:P183"/>
    <mergeCell ref="Q183:R183"/>
    <mergeCell ref="K178:M178"/>
    <mergeCell ref="N178:P178"/>
    <mergeCell ref="Q178:R178"/>
    <mergeCell ref="K179:L179"/>
    <mergeCell ref="N179:O179"/>
    <mergeCell ref="K180:L180"/>
    <mergeCell ref="N180:O180"/>
    <mergeCell ref="K176:M176"/>
    <mergeCell ref="N176:P176"/>
    <mergeCell ref="Q176:R176"/>
    <mergeCell ref="K177:M177"/>
    <mergeCell ref="N177:P177"/>
    <mergeCell ref="Q177:R177"/>
    <mergeCell ref="K173:M173"/>
    <mergeCell ref="N173:P173"/>
    <mergeCell ref="Q173:R173"/>
    <mergeCell ref="K174:L174"/>
    <mergeCell ref="N174:O174"/>
    <mergeCell ref="K175:M175"/>
    <mergeCell ref="N175:P175"/>
    <mergeCell ref="Q175:R175"/>
    <mergeCell ref="K171:M171"/>
    <mergeCell ref="N171:P171"/>
    <mergeCell ref="Q171:R171"/>
    <mergeCell ref="K172:M172"/>
    <mergeCell ref="N172:P172"/>
    <mergeCell ref="Q172:R172"/>
    <mergeCell ref="K168:M168"/>
    <mergeCell ref="N168:P168"/>
    <mergeCell ref="Q168:R168"/>
    <mergeCell ref="K169:L169"/>
    <mergeCell ref="N169:O169"/>
    <mergeCell ref="K170:L170"/>
    <mergeCell ref="N170:O170"/>
    <mergeCell ref="K165:L165"/>
    <mergeCell ref="N165:O165"/>
    <mergeCell ref="K166:M166"/>
    <mergeCell ref="N166:P166"/>
    <mergeCell ref="Q166:R166"/>
    <mergeCell ref="K167:M167"/>
    <mergeCell ref="N167:P167"/>
    <mergeCell ref="Q167:R167"/>
    <mergeCell ref="K162:L162"/>
    <mergeCell ref="N162:O162"/>
    <mergeCell ref="K163:L163"/>
    <mergeCell ref="N163:O163"/>
    <mergeCell ref="K164:L164"/>
    <mergeCell ref="N164:O164"/>
    <mergeCell ref="K159:M159"/>
    <mergeCell ref="N159:P159"/>
    <mergeCell ref="Q159:R159"/>
    <mergeCell ref="K160:L160"/>
    <mergeCell ref="N160:O160"/>
    <mergeCell ref="K161:L161"/>
    <mergeCell ref="N161:O161"/>
    <mergeCell ref="K157:M157"/>
    <mergeCell ref="N157:P157"/>
    <mergeCell ref="Q157:R157"/>
    <mergeCell ref="K158:M158"/>
    <mergeCell ref="N158:P158"/>
    <mergeCell ref="Q158:R158"/>
    <mergeCell ref="K155:M155"/>
    <mergeCell ref="N155:P155"/>
    <mergeCell ref="Q155:R155"/>
    <mergeCell ref="K156:M156"/>
    <mergeCell ref="N156:P156"/>
    <mergeCell ref="Q156:R156"/>
    <mergeCell ref="K152:L152"/>
    <mergeCell ref="N152:O152"/>
    <mergeCell ref="K153:M153"/>
    <mergeCell ref="N153:P153"/>
    <mergeCell ref="Q153:R153"/>
    <mergeCell ref="K154:M154"/>
    <mergeCell ref="N154:P154"/>
    <mergeCell ref="Q154:R154"/>
    <mergeCell ref="K149:M149"/>
    <mergeCell ref="N149:P149"/>
    <mergeCell ref="Q149:R149"/>
    <mergeCell ref="K150:L150"/>
    <mergeCell ref="N150:O150"/>
    <mergeCell ref="K151:L151"/>
    <mergeCell ref="N151:O151"/>
    <mergeCell ref="K147:M147"/>
    <mergeCell ref="N147:P147"/>
    <mergeCell ref="Q147:R147"/>
    <mergeCell ref="K148:M148"/>
    <mergeCell ref="N148:P148"/>
    <mergeCell ref="Q148:R148"/>
    <mergeCell ref="K144:L144"/>
    <mergeCell ref="N144:O144"/>
    <mergeCell ref="K145:L145"/>
    <mergeCell ref="N145:O145"/>
    <mergeCell ref="K146:L146"/>
    <mergeCell ref="N146:O146"/>
    <mergeCell ref="Q140:R140"/>
    <mergeCell ref="K141:L141"/>
    <mergeCell ref="N141:O141"/>
    <mergeCell ref="K142:L142"/>
    <mergeCell ref="N142:O142"/>
    <mergeCell ref="K143:M143"/>
    <mergeCell ref="N143:P143"/>
    <mergeCell ref="Q143:R143"/>
    <mergeCell ref="K138:L138"/>
    <mergeCell ref="N138:O138"/>
    <mergeCell ref="K139:L139"/>
    <mergeCell ref="N139:O139"/>
    <mergeCell ref="K140:M140"/>
    <mergeCell ref="N140:P140"/>
    <mergeCell ref="K136:M136"/>
    <mergeCell ref="N136:P136"/>
    <mergeCell ref="Q136:R136"/>
    <mergeCell ref="K137:M137"/>
    <mergeCell ref="N137:P137"/>
    <mergeCell ref="Q137:R137"/>
    <mergeCell ref="P129:Q129"/>
    <mergeCell ref="P130:R130"/>
    <mergeCell ref="P131:Q131"/>
    <mergeCell ref="P132:R132"/>
    <mergeCell ref="C134:R134"/>
    <mergeCell ref="C135:J135"/>
    <mergeCell ref="K135:M135"/>
    <mergeCell ref="N135:P135"/>
    <mergeCell ref="Q135:R135"/>
    <mergeCell ref="P123:Q123"/>
    <mergeCell ref="P124:Q124"/>
    <mergeCell ref="P125:Q125"/>
    <mergeCell ref="P126:Q126"/>
    <mergeCell ref="P127:Q127"/>
    <mergeCell ref="P128:Q128"/>
    <mergeCell ref="C117:R117"/>
    <mergeCell ref="P118:Q118"/>
    <mergeCell ref="P119:Q119"/>
    <mergeCell ref="P120:Q120"/>
    <mergeCell ref="P121:R121"/>
    <mergeCell ref="P122:Q122"/>
    <mergeCell ref="K114:L114"/>
    <mergeCell ref="M114:N114"/>
    <mergeCell ref="O114:P114"/>
    <mergeCell ref="Q114:R114"/>
    <mergeCell ref="K115:L115"/>
    <mergeCell ref="M115:N115"/>
    <mergeCell ref="O115:P115"/>
    <mergeCell ref="Q115:R115"/>
    <mergeCell ref="P110:R110"/>
    <mergeCell ref="C112:R112"/>
    <mergeCell ref="K113:L113"/>
    <mergeCell ref="M113:N113"/>
    <mergeCell ref="O113:P113"/>
    <mergeCell ref="Q113:R113"/>
    <mergeCell ref="P103:Q103"/>
    <mergeCell ref="P104:Q104"/>
    <mergeCell ref="P105:Q105"/>
    <mergeCell ref="C107:R107"/>
    <mergeCell ref="P108:R108"/>
    <mergeCell ref="P109:R109"/>
    <mergeCell ref="P96:Q96"/>
    <mergeCell ref="C98:R98"/>
    <mergeCell ref="P99:R99"/>
    <mergeCell ref="P100:Q100"/>
    <mergeCell ref="P101:Q101"/>
    <mergeCell ref="P102:Q102"/>
    <mergeCell ref="P90:Q90"/>
    <mergeCell ref="C91:R91"/>
    <mergeCell ref="P92:R92"/>
    <mergeCell ref="P93:Q93"/>
    <mergeCell ref="P94:Q94"/>
    <mergeCell ref="P95:Q95"/>
    <mergeCell ref="P82:Q82"/>
    <mergeCell ref="P83:Q83"/>
    <mergeCell ref="P84:Q84"/>
    <mergeCell ref="P87:Q87"/>
    <mergeCell ref="P88:Q88"/>
    <mergeCell ref="P89:Q89"/>
    <mergeCell ref="P60:R60"/>
    <mergeCell ref="P63:R63"/>
    <mergeCell ref="P66:R66"/>
    <mergeCell ref="P79:R79"/>
    <mergeCell ref="C80:R80"/>
    <mergeCell ref="P81:R81"/>
    <mergeCell ref="C52:R52"/>
    <mergeCell ref="P53:R53"/>
    <mergeCell ref="P54:R54"/>
    <mergeCell ref="P55:R55"/>
    <mergeCell ref="P56:R56"/>
    <mergeCell ref="C59:R59"/>
    <mergeCell ref="J17:R17"/>
    <mergeCell ref="J18:R18"/>
    <mergeCell ref="J19:R19"/>
    <mergeCell ref="J20:R20"/>
    <mergeCell ref="C22:R22"/>
    <mergeCell ref="C51:R51"/>
    <mergeCell ref="J12:R12"/>
    <mergeCell ref="J13:R13"/>
    <mergeCell ref="C14:E15"/>
    <mergeCell ref="J14:R14"/>
    <mergeCell ref="J15:R15"/>
    <mergeCell ref="J16:R16"/>
    <mergeCell ref="C3:R4"/>
    <mergeCell ref="C6:R6"/>
    <mergeCell ref="J8:R8"/>
    <mergeCell ref="J9:R9"/>
    <mergeCell ref="C10:E11"/>
    <mergeCell ref="J10:R10"/>
    <mergeCell ref="J11:R11"/>
  </mergeCells>
  <pageMargins left="0.7" right="0.7" top="0.75" bottom="0.75" header="0.3" footer="0.3"/>
  <pageSetup paperSize="9" orientation="portrait" r:id="rId1"/>
  <ignoredErrors>
    <ignoredError sqref="M47" 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1F6F8-32C1-4B92-B110-7B2EDFDB0F9F}">
  <dimension ref="B1:X183"/>
  <sheetViews>
    <sheetView tabSelected="1" zoomScale="120" zoomScaleNormal="120" workbookViewId="0">
      <selection activeCell="F26" sqref="F26"/>
    </sheetView>
  </sheetViews>
  <sheetFormatPr defaultColWidth="9.140625" defaultRowHeight="15"/>
  <cols>
    <col min="1" max="1" width="9.140625" style="1"/>
    <col min="2" max="2" width="3.42578125" style="1" customWidth="1"/>
    <col min="3" max="3" width="37.7109375" style="1" customWidth="1"/>
    <col min="4" max="13" width="9.140625" style="1"/>
    <col min="14" max="14" width="10.42578125" style="1" customWidth="1"/>
    <col min="15" max="15" width="4" style="1" customWidth="1"/>
    <col min="16" max="16" width="9.140625" style="1" customWidth="1"/>
    <col min="17" max="17" width="16" style="1" customWidth="1"/>
    <col min="18" max="18" width="15.28515625" style="1" bestFit="1" customWidth="1"/>
    <col min="19" max="20" width="14.28515625" style="1" bestFit="1" customWidth="1"/>
    <col min="21" max="21" width="13.7109375" style="1" bestFit="1" customWidth="1"/>
    <col min="22" max="22" width="17.28515625" style="1" customWidth="1"/>
    <col min="23" max="23" width="10.5703125" style="1" bestFit="1" customWidth="1"/>
    <col min="24" max="24" width="11.5703125" style="1" bestFit="1" customWidth="1"/>
    <col min="25" max="16384" width="9.140625" style="1"/>
  </cols>
  <sheetData>
    <row r="1" spans="2:17" ht="15.75" thickBot="1"/>
    <row r="2" spans="2:17" ht="15.75" thickBot="1">
      <c r="B2" s="2"/>
      <c r="C2" s="3"/>
      <c r="D2" s="3"/>
      <c r="E2" s="3"/>
      <c r="F2" s="3"/>
      <c r="G2" s="3"/>
      <c r="H2" s="3"/>
      <c r="I2" s="3"/>
      <c r="J2" s="3"/>
      <c r="K2" s="3"/>
      <c r="L2" s="3"/>
      <c r="M2" s="3"/>
      <c r="N2" s="3"/>
      <c r="O2" s="4"/>
    </row>
    <row r="3" spans="2:17" ht="20.25" customHeight="1">
      <c r="B3" s="5"/>
      <c r="C3" s="6" t="s">
        <v>0</v>
      </c>
      <c r="D3" s="7"/>
      <c r="E3" s="7"/>
      <c r="F3" s="7"/>
      <c r="G3" s="7"/>
      <c r="H3" s="7"/>
      <c r="I3" s="7"/>
      <c r="J3" s="7"/>
      <c r="K3" s="7"/>
      <c r="L3" s="7"/>
      <c r="M3" s="7"/>
      <c r="N3" s="8"/>
      <c r="O3" s="9"/>
    </row>
    <row r="4" spans="2:17" ht="20.25" customHeight="1" thickBot="1">
      <c r="B4" s="5"/>
      <c r="C4" s="10"/>
      <c r="D4" s="11"/>
      <c r="E4" s="11"/>
      <c r="F4" s="11"/>
      <c r="G4" s="11"/>
      <c r="H4" s="11"/>
      <c r="I4" s="11"/>
      <c r="J4" s="11"/>
      <c r="K4" s="11"/>
      <c r="L4" s="11"/>
      <c r="M4" s="11"/>
      <c r="N4" s="12"/>
      <c r="O4" s="9"/>
    </row>
    <row r="5" spans="2:17" ht="15.75" thickBot="1">
      <c r="B5" s="5"/>
      <c r="C5" s="13"/>
      <c r="D5" s="13"/>
      <c r="E5" s="13"/>
      <c r="F5" s="13"/>
      <c r="G5" s="13"/>
      <c r="H5" s="13"/>
      <c r="I5" s="13"/>
      <c r="J5" s="13"/>
      <c r="K5" s="13"/>
      <c r="L5" s="13"/>
      <c r="M5" s="13"/>
      <c r="N5" s="13"/>
      <c r="O5" s="9"/>
    </row>
    <row r="6" spans="2:17" ht="15.75" thickBot="1">
      <c r="B6" s="5"/>
      <c r="C6" s="14" t="s">
        <v>248</v>
      </c>
      <c r="D6" s="15"/>
      <c r="E6" s="15"/>
      <c r="F6" s="15"/>
      <c r="G6" s="15"/>
      <c r="H6" s="15"/>
      <c r="I6" s="15"/>
      <c r="J6" s="15"/>
      <c r="K6" s="15"/>
      <c r="L6" s="15"/>
      <c r="M6" s="15"/>
      <c r="N6" s="16"/>
      <c r="O6" s="9"/>
    </row>
    <row r="7" spans="2:17" ht="15.75" thickBot="1">
      <c r="B7" s="5"/>
      <c r="C7" s="13"/>
      <c r="D7" s="13"/>
      <c r="E7" s="13"/>
      <c r="F7" s="13"/>
      <c r="G7" s="13"/>
      <c r="H7" s="13"/>
      <c r="I7" s="13"/>
      <c r="J7" s="13"/>
      <c r="K7" s="13"/>
      <c r="L7" s="13"/>
      <c r="M7" s="13"/>
      <c r="N7" s="13"/>
      <c r="O7" s="9"/>
    </row>
    <row r="8" spans="2:17">
      <c r="B8" s="5"/>
      <c r="C8" s="17" t="s">
        <v>249</v>
      </c>
      <c r="D8" s="18"/>
      <c r="E8" s="18"/>
      <c r="F8" s="18"/>
      <c r="G8" s="18"/>
      <c r="H8" s="18"/>
      <c r="I8" s="19"/>
      <c r="J8" s="20">
        <f>J9+10</f>
        <v>44967</v>
      </c>
      <c r="K8" s="20"/>
      <c r="L8" s="20"/>
      <c r="M8" s="20"/>
      <c r="N8" s="22"/>
      <c r="O8" s="9"/>
    </row>
    <row r="9" spans="2:17">
      <c r="B9" s="5"/>
      <c r="C9" s="23" t="s">
        <v>250</v>
      </c>
      <c r="D9" s="24"/>
      <c r="E9" s="24"/>
      <c r="F9" s="24"/>
      <c r="G9" s="24"/>
      <c r="H9" s="24"/>
      <c r="I9" s="25"/>
      <c r="J9" s="26">
        <v>44957</v>
      </c>
      <c r="K9" s="26"/>
      <c r="L9" s="26"/>
      <c r="M9" s="26"/>
      <c r="N9" s="28"/>
      <c r="O9" s="9"/>
    </row>
    <row r="10" spans="2:17">
      <c r="B10" s="5"/>
      <c r="C10" s="29" t="s">
        <v>4</v>
      </c>
      <c r="D10" s="30"/>
      <c r="E10" s="31"/>
      <c r="F10" s="32" t="s">
        <v>251</v>
      </c>
      <c r="G10" s="24"/>
      <c r="H10" s="24"/>
      <c r="I10" s="25"/>
      <c r="J10" s="26">
        <v>44865</v>
      </c>
      <c r="K10" s="26"/>
      <c r="L10" s="26"/>
      <c r="M10" s="26"/>
      <c r="N10" s="28"/>
      <c r="O10" s="9"/>
      <c r="Q10" s="319"/>
    </row>
    <row r="11" spans="2:17">
      <c r="B11" s="5"/>
      <c r="C11" s="33"/>
      <c r="D11" s="34"/>
      <c r="E11" s="35"/>
      <c r="F11" s="36" t="s">
        <v>252</v>
      </c>
      <c r="G11" s="24"/>
      <c r="H11" s="24"/>
      <c r="I11" s="25"/>
      <c r="J11" s="26">
        <f>J9</f>
        <v>44957</v>
      </c>
      <c r="K11" s="26"/>
      <c r="L11" s="26"/>
      <c r="M11" s="26"/>
      <c r="N11" s="28"/>
      <c r="O11" s="9"/>
    </row>
    <row r="12" spans="2:17">
      <c r="B12" s="5"/>
      <c r="C12" s="320" t="s">
        <v>253</v>
      </c>
      <c r="D12" s="38"/>
      <c r="E12" s="321"/>
      <c r="F12" s="40"/>
      <c r="G12" s="24"/>
      <c r="H12" s="24"/>
      <c r="I12" s="25"/>
      <c r="J12" s="41">
        <f>J11-J10</f>
        <v>92</v>
      </c>
      <c r="K12" s="41"/>
      <c r="L12" s="41"/>
      <c r="M12" s="41"/>
      <c r="N12" s="43"/>
      <c r="O12" s="9"/>
    </row>
    <row r="13" spans="2:17">
      <c r="B13" s="5"/>
      <c r="C13" s="29" t="s">
        <v>254</v>
      </c>
      <c r="D13" s="30"/>
      <c r="E13" s="31"/>
      <c r="F13" s="32" t="s">
        <v>255</v>
      </c>
      <c r="G13" s="40"/>
      <c r="H13" s="40"/>
      <c r="I13" s="45"/>
      <c r="J13" s="322" t="s">
        <v>58</v>
      </c>
      <c r="K13" s="322"/>
      <c r="L13" s="322"/>
      <c r="M13" s="322"/>
      <c r="N13" s="323"/>
      <c r="O13" s="9"/>
    </row>
    <row r="14" spans="2:17">
      <c r="B14" s="5"/>
      <c r="C14" s="33"/>
      <c r="D14" s="34"/>
      <c r="E14" s="47"/>
      <c r="F14" s="32" t="s">
        <v>256</v>
      </c>
      <c r="G14" s="40"/>
      <c r="H14" s="40"/>
      <c r="I14" s="45"/>
      <c r="J14" s="322" t="s">
        <v>58</v>
      </c>
      <c r="K14" s="322"/>
      <c r="L14" s="322"/>
      <c r="M14" s="322"/>
      <c r="N14" s="323"/>
      <c r="O14" s="9"/>
    </row>
    <row r="15" spans="2:17">
      <c r="B15" s="5"/>
      <c r="C15" s="37" t="s">
        <v>257</v>
      </c>
      <c r="D15" s="48"/>
      <c r="E15" s="48"/>
      <c r="F15" s="40"/>
      <c r="G15" s="40"/>
      <c r="H15" s="40"/>
      <c r="I15" s="45"/>
      <c r="J15" s="26">
        <v>52366</v>
      </c>
      <c r="K15" s="26"/>
      <c r="L15" s="26"/>
      <c r="M15" s="26"/>
      <c r="N15" s="28"/>
      <c r="O15" s="9"/>
    </row>
    <row r="16" spans="2:17">
      <c r="B16" s="5"/>
      <c r="C16" s="37" t="s">
        <v>258</v>
      </c>
      <c r="D16" s="48"/>
      <c r="E16" s="48"/>
      <c r="F16" s="40"/>
      <c r="G16" s="40"/>
      <c r="H16" s="40"/>
      <c r="I16" s="45"/>
      <c r="J16" s="324">
        <v>6.6170000000000007E-2</v>
      </c>
      <c r="K16" s="324"/>
      <c r="L16" s="324"/>
      <c r="M16" s="324"/>
      <c r="N16" s="325"/>
      <c r="O16" s="9"/>
    </row>
    <row r="17" spans="2:24">
      <c r="B17" s="5"/>
      <c r="C17" s="29" t="s">
        <v>259</v>
      </c>
      <c r="D17" s="30"/>
      <c r="E17" s="31"/>
      <c r="F17" s="40" t="s">
        <v>260</v>
      </c>
      <c r="G17" s="40"/>
      <c r="H17" s="40"/>
      <c r="I17" s="45"/>
      <c r="J17" s="27">
        <v>44880</v>
      </c>
      <c r="K17" s="326"/>
      <c r="L17" s="326"/>
      <c r="M17" s="326"/>
      <c r="N17" s="327"/>
      <c r="O17" s="9"/>
    </row>
    <row r="18" spans="2:24">
      <c r="B18" s="5"/>
      <c r="C18" s="33"/>
      <c r="D18" s="34"/>
      <c r="E18" s="47"/>
      <c r="F18" s="40" t="s">
        <v>261</v>
      </c>
      <c r="G18" s="40"/>
      <c r="H18" s="40"/>
      <c r="I18" s="45"/>
      <c r="J18" s="27">
        <v>44972</v>
      </c>
      <c r="K18" s="326"/>
      <c r="L18" s="326"/>
      <c r="M18" s="326"/>
      <c r="N18" s="327"/>
      <c r="O18" s="9"/>
    </row>
    <row r="19" spans="2:24">
      <c r="B19" s="5"/>
      <c r="C19" s="44" t="s">
        <v>262</v>
      </c>
      <c r="D19" s="40"/>
      <c r="E19" s="40"/>
      <c r="F19" s="40"/>
      <c r="G19" s="40"/>
      <c r="H19" s="40"/>
      <c r="I19" s="45"/>
      <c r="J19" s="328" t="s">
        <v>17</v>
      </c>
      <c r="K19" s="328"/>
      <c r="L19" s="328"/>
      <c r="M19" s="328"/>
      <c r="N19" s="329"/>
      <c r="O19" s="9"/>
    </row>
    <row r="20" spans="2:24" ht="15.75" thickBot="1">
      <c r="B20" s="5"/>
      <c r="C20" s="93" t="s">
        <v>263</v>
      </c>
      <c r="D20" s="330"/>
      <c r="E20" s="330"/>
      <c r="F20" s="330"/>
      <c r="G20" s="330"/>
      <c r="H20" s="330"/>
      <c r="I20" s="330"/>
      <c r="J20" s="56" t="s">
        <v>264</v>
      </c>
      <c r="K20" s="56"/>
      <c r="L20" s="56"/>
      <c r="M20" s="56"/>
      <c r="N20" s="58"/>
      <c r="O20" s="9"/>
    </row>
    <row r="21" spans="2:24" ht="15.75" thickBot="1">
      <c r="B21" s="5"/>
      <c r="C21" s="5"/>
      <c r="D21" s="13"/>
      <c r="E21" s="13"/>
      <c r="F21" s="13"/>
      <c r="G21" s="13"/>
      <c r="H21" s="13"/>
      <c r="I21" s="13"/>
      <c r="J21" s="13"/>
      <c r="K21" s="13"/>
      <c r="L21" s="13"/>
      <c r="M21" s="13"/>
      <c r="N21" s="9"/>
      <c r="O21" s="9"/>
    </row>
    <row r="22" spans="2:24">
      <c r="B22" s="5"/>
      <c r="C22" s="98" t="s">
        <v>265</v>
      </c>
      <c r="D22" s="99"/>
      <c r="E22" s="99"/>
      <c r="F22" s="99"/>
      <c r="G22" s="99"/>
      <c r="H22" s="99"/>
      <c r="I22" s="99"/>
      <c r="J22" s="99"/>
      <c r="K22" s="99"/>
      <c r="L22" s="99"/>
      <c r="M22" s="99"/>
      <c r="N22" s="100"/>
      <c r="O22" s="9"/>
    </row>
    <row r="23" spans="2:24">
      <c r="B23" s="5"/>
      <c r="C23" s="101" t="s">
        <v>266</v>
      </c>
      <c r="D23" s="102"/>
      <c r="E23" s="102"/>
      <c r="F23" s="102"/>
      <c r="G23" s="102"/>
      <c r="H23" s="102"/>
      <c r="I23" s="102"/>
      <c r="J23" s="102"/>
      <c r="K23" s="102"/>
      <c r="L23" s="102"/>
      <c r="M23" s="102"/>
      <c r="N23" s="103"/>
      <c r="O23" s="9"/>
    </row>
    <row r="24" spans="2:24">
      <c r="B24" s="5"/>
      <c r="C24" s="135" t="s">
        <v>267</v>
      </c>
      <c r="D24" s="331"/>
      <c r="E24" s="331"/>
      <c r="F24" s="331"/>
      <c r="G24" s="331"/>
      <c r="H24" s="331"/>
      <c r="I24" s="332"/>
      <c r="J24" s="333">
        <v>1080964064.6449997</v>
      </c>
      <c r="K24" s="333"/>
      <c r="L24" s="333"/>
      <c r="M24" s="333"/>
      <c r="N24" s="334"/>
      <c r="O24" s="9"/>
    </row>
    <row r="25" spans="2:24">
      <c r="B25" s="5"/>
      <c r="C25" s="101" t="s">
        <v>268</v>
      </c>
      <c r="D25" s="102"/>
      <c r="E25" s="102"/>
      <c r="F25" s="102"/>
      <c r="G25" s="102"/>
      <c r="H25" s="102"/>
      <c r="I25" s="102"/>
      <c r="J25" s="102"/>
      <c r="K25" s="102"/>
      <c r="L25" s="102"/>
      <c r="M25" s="102"/>
      <c r="N25" s="103"/>
      <c r="O25" s="9"/>
    </row>
    <row r="26" spans="2:24">
      <c r="B26" s="5"/>
      <c r="C26" s="145" t="s">
        <v>269</v>
      </c>
      <c r="D26" s="335"/>
      <c r="E26" s="335"/>
      <c r="F26" s="335"/>
      <c r="G26" s="335"/>
      <c r="H26" s="335"/>
      <c r="I26" s="335"/>
      <c r="J26" s="336">
        <f>SUM(J27:M28)</f>
        <v>359379806.36000007</v>
      </c>
      <c r="K26" s="337"/>
      <c r="L26" s="337"/>
      <c r="M26" s="337"/>
      <c r="N26" s="338"/>
      <c r="O26" s="9"/>
    </row>
    <row r="27" spans="2:24">
      <c r="B27" s="5"/>
      <c r="C27" s="339" t="s">
        <v>270</v>
      </c>
      <c r="D27" s="335"/>
      <c r="E27" s="335"/>
      <c r="F27" s="335"/>
      <c r="G27" s="335"/>
      <c r="H27" s="335"/>
      <c r="I27" s="335"/>
      <c r="J27" s="215">
        <v>359379806.36000007</v>
      </c>
      <c r="K27" s="216"/>
      <c r="L27" s="216"/>
      <c r="M27" s="216"/>
      <c r="N27" s="340"/>
      <c r="O27" s="9"/>
      <c r="R27" s="152"/>
      <c r="S27" s="53"/>
    </row>
    <row r="28" spans="2:24">
      <c r="B28" s="5"/>
      <c r="C28" s="339" t="s">
        <v>271</v>
      </c>
      <c r="D28" s="335"/>
      <c r="E28" s="335"/>
      <c r="F28" s="335"/>
      <c r="G28" s="335"/>
      <c r="H28" s="335"/>
      <c r="I28" s="335"/>
      <c r="J28" s="215">
        <v>0</v>
      </c>
      <c r="K28" s="216"/>
      <c r="L28" s="216"/>
      <c r="M28" s="216"/>
      <c r="N28" s="341"/>
      <c r="O28" s="9"/>
      <c r="Q28" s="152"/>
      <c r="R28" s="152"/>
      <c r="S28" s="53"/>
    </row>
    <row r="29" spans="2:24">
      <c r="B29" s="5"/>
      <c r="C29" s="145" t="s">
        <v>272</v>
      </c>
      <c r="D29" s="335"/>
      <c r="E29" s="335"/>
      <c r="F29" s="335"/>
      <c r="G29" s="335"/>
      <c r="H29" s="335"/>
      <c r="I29" s="335"/>
      <c r="J29" s="336">
        <f>SUM(J30:M31)</f>
        <v>4780293.6310000001</v>
      </c>
      <c r="K29" s="337"/>
      <c r="L29" s="337"/>
      <c r="M29" s="337"/>
      <c r="N29" s="338"/>
      <c r="O29" s="9"/>
    </row>
    <row r="30" spans="2:24">
      <c r="B30" s="5"/>
      <c r="C30" s="339" t="s">
        <v>273</v>
      </c>
      <c r="D30" s="335"/>
      <c r="E30" s="335"/>
      <c r="F30" s="335"/>
      <c r="G30" s="335"/>
      <c r="H30" s="335"/>
      <c r="I30" s="335"/>
      <c r="J30" s="215">
        <v>4612689.13</v>
      </c>
      <c r="K30" s="216"/>
      <c r="L30" s="216"/>
      <c r="M30" s="216"/>
      <c r="N30" s="340"/>
      <c r="O30" s="9"/>
      <c r="T30" s="318"/>
      <c r="V30" s="111"/>
      <c r="W30" s="111"/>
      <c r="X30" s="111"/>
    </row>
    <row r="31" spans="2:24">
      <c r="B31" s="5"/>
      <c r="C31" s="339" t="s">
        <v>274</v>
      </c>
      <c r="D31" s="335"/>
      <c r="E31" s="335"/>
      <c r="F31" s="335"/>
      <c r="G31" s="335"/>
      <c r="H31" s="335"/>
      <c r="I31" s="335"/>
      <c r="J31" s="342">
        <v>167604.50100000002</v>
      </c>
      <c r="K31" s="343"/>
      <c r="L31" s="343"/>
      <c r="M31" s="343"/>
      <c r="N31" s="341"/>
      <c r="O31" s="9"/>
      <c r="T31" s="318"/>
    </row>
    <row r="32" spans="2:24">
      <c r="B32" s="5"/>
      <c r="C32" s="101" t="s">
        <v>275</v>
      </c>
      <c r="D32" s="102"/>
      <c r="E32" s="102"/>
      <c r="F32" s="102"/>
      <c r="G32" s="102"/>
      <c r="H32" s="102"/>
      <c r="I32" s="102"/>
      <c r="J32" s="102"/>
      <c r="K32" s="102"/>
      <c r="L32" s="102"/>
      <c r="M32" s="102"/>
      <c r="N32" s="103"/>
      <c r="O32" s="9"/>
      <c r="T32" s="318"/>
    </row>
    <row r="33" spans="2:22">
      <c r="B33" s="5"/>
      <c r="C33" s="135" t="s">
        <v>276</v>
      </c>
      <c r="D33" s="331"/>
      <c r="E33" s="331"/>
      <c r="F33" s="331"/>
      <c r="G33" s="331"/>
      <c r="H33" s="331"/>
      <c r="I33" s="331"/>
      <c r="J33" s="336">
        <f>SUM(J34:M36)</f>
        <v>46959950.000000007</v>
      </c>
      <c r="K33" s="337"/>
      <c r="L33" s="337"/>
      <c r="M33" s="337"/>
      <c r="N33" s="338"/>
      <c r="O33" s="9"/>
      <c r="U33" s="111"/>
    </row>
    <row r="34" spans="2:22">
      <c r="B34" s="5"/>
      <c r="C34" s="86" t="s">
        <v>277</v>
      </c>
      <c r="D34" s="335"/>
      <c r="E34" s="335"/>
      <c r="F34" s="335"/>
      <c r="G34" s="335"/>
      <c r="H34" s="335"/>
      <c r="I34" s="344"/>
      <c r="J34" s="215">
        <v>11060942.9816129</v>
      </c>
      <c r="K34" s="216"/>
      <c r="L34" s="216"/>
      <c r="M34" s="216"/>
      <c r="N34" s="340"/>
      <c r="O34" s="9"/>
    </row>
    <row r="35" spans="2:22">
      <c r="B35" s="5"/>
      <c r="C35" s="86" t="s">
        <v>278</v>
      </c>
      <c r="D35" s="335"/>
      <c r="E35" s="335"/>
      <c r="F35" s="335"/>
      <c r="G35" s="335"/>
      <c r="H35" s="335"/>
      <c r="I35" s="344"/>
      <c r="J35" s="216">
        <v>35899007.018387109</v>
      </c>
      <c r="K35" s="216"/>
      <c r="L35" s="216"/>
      <c r="M35" s="216"/>
      <c r="N35" s="345"/>
      <c r="O35" s="9"/>
      <c r="S35" s="152"/>
      <c r="T35" s="318"/>
      <c r="V35" s="152"/>
    </row>
    <row r="36" spans="2:22">
      <c r="B36" s="5"/>
      <c r="C36" s="127" t="s">
        <v>279</v>
      </c>
      <c r="D36" s="346"/>
      <c r="E36" s="346"/>
      <c r="F36" s="346"/>
      <c r="G36" s="346"/>
      <c r="H36" s="346"/>
      <c r="I36" s="347"/>
      <c r="J36" s="216">
        <v>0</v>
      </c>
      <c r="K36" s="216"/>
      <c r="L36" s="216"/>
      <c r="M36" s="216"/>
      <c r="N36" s="345"/>
      <c r="O36" s="9"/>
      <c r="Q36" s="152"/>
      <c r="R36" s="152"/>
      <c r="S36" s="152"/>
      <c r="T36" s="152"/>
    </row>
    <row r="37" spans="2:22">
      <c r="B37" s="5"/>
      <c r="C37" s="101" t="s">
        <v>280</v>
      </c>
      <c r="D37" s="102"/>
      <c r="E37" s="102"/>
      <c r="F37" s="102"/>
      <c r="G37" s="102"/>
      <c r="H37" s="102"/>
      <c r="I37" s="102"/>
      <c r="J37" s="102"/>
      <c r="K37" s="102"/>
      <c r="L37" s="102"/>
      <c r="M37" s="102"/>
      <c r="N37" s="103"/>
      <c r="O37" s="9"/>
    </row>
    <row r="38" spans="2:22">
      <c r="B38" s="5"/>
      <c r="C38" s="135" t="s">
        <v>281</v>
      </c>
      <c r="D38" s="331"/>
      <c r="E38" s="331"/>
      <c r="F38" s="331"/>
      <c r="G38" s="331"/>
      <c r="H38" s="331"/>
      <c r="I38" s="332"/>
      <c r="J38" s="337">
        <f>SUM(J39:M41)</f>
        <v>44984223.000000007</v>
      </c>
      <c r="K38" s="337"/>
      <c r="L38" s="337"/>
      <c r="M38" s="337"/>
      <c r="N38" s="338"/>
      <c r="O38" s="9"/>
      <c r="P38" s="152"/>
      <c r="U38" s="111"/>
      <c r="V38" s="152"/>
    </row>
    <row r="39" spans="2:22">
      <c r="B39" s="5"/>
      <c r="C39" s="86" t="s">
        <v>282</v>
      </c>
      <c r="D39" s="335"/>
      <c r="E39" s="335"/>
      <c r="F39" s="335"/>
      <c r="G39" s="335"/>
      <c r="H39" s="335"/>
      <c r="I39" s="344"/>
      <c r="J39" s="216">
        <v>10642717.949354837</v>
      </c>
      <c r="K39" s="216"/>
      <c r="L39" s="216"/>
      <c r="M39" s="216"/>
      <c r="N39" s="340"/>
      <c r="O39" s="9"/>
    </row>
    <row r="40" spans="2:22">
      <c r="B40" s="5"/>
      <c r="C40" s="86" t="s">
        <v>283</v>
      </c>
      <c r="D40" s="335"/>
      <c r="E40" s="335"/>
      <c r="F40" s="335"/>
      <c r="G40" s="335"/>
      <c r="H40" s="335"/>
      <c r="I40" s="344"/>
      <c r="J40" s="216">
        <v>34341505.050645173</v>
      </c>
      <c r="K40" s="216"/>
      <c r="L40" s="216"/>
      <c r="M40" s="216"/>
      <c r="N40" s="340"/>
      <c r="O40" s="9"/>
      <c r="Q40" s="152"/>
      <c r="R40" s="136"/>
      <c r="T40" s="318"/>
      <c r="V40" s="152"/>
    </row>
    <row r="41" spans="2:22">
      <c r="B41" s="5"/>
      <c r="C41" s="127" t="s">
        <v>284</v>
      </c>
      <c r="D41" s="346"/>
      <c r="E41" s="346"/>
      <c r="F41" s="346"/>
      <c r="G41" s="346"/>
      <c r="H41" s="346"/>
      <c r="I41" s="347"/>
      <c r="J41" s="216">
        <v>0</v>
      </c>
      <c r="K41" s="216"/>
      <c r="L41" s="216"/>
      <c r="M41" s="216"/>
      <c r="N41" s="340"/>
      <c r="O41" s="9"/>
      <c r="R41" s="136"/>
    </row>
    <row r="42" spans="2:22">
      <c r="B42" s="5"/>
      <c r="C42" s="145" t="s">
        <v>285</v>
      </c>
      <c r="D42" s="335"/>
      <c r="E42" s="335"/>
      <c r="F42" s="335"/>
      <c r="G42" s="335"/>
      <c r="H42" s="335"/>
      <c r="I42" s="344"/>
      <c r="J42" s="348">
        <v>31356684.550000001</v>
      </c>
      <c r="K42" s="349"/>
      <c r="L42" s="349"/>
      <c r="M42" s="349"/>
      <c r="N42" s="350"/>
      <c r="O42" s="9"/>
      <c r="P42" s="351"/>
      <c r="Q42" s="152"/>
      <c r="R42" s="136"/>
      <c r="S42" s="136"/>
      <c r="T42" s="136"/>
      <c r="V42" s="152"/>
    </row>
    <row r="43" spans="2:22">
      <c r="B43" s="5"/>
      <c r="C43" s="165" t="s">
        <v>286</v>
      </c>
      <c r="D43" s="352"/>
      <c r="E43" s="352"/>
      <c r="F43" s="352"/>
      <c r="G43" s="352"/>
      <c r="H43" s="352"/>
      <c r="I43" s="353"/>
      <c r="J43" s="348">
        <v>0</v>
      </c>
      <c r="K43" s="349"/>
      <c r="L43" s="349"/>
      <c r="M43" s="349"/>
      <c r="N43" s="350"/>
      <c r="O43" s="9"/>
      <c r="R43" s="354"/>
    </row>
    <row r="44" spans="2:22">
      <c r="B44" s="5"/>
      <c r="C44" s="165" t="s">
        <v>287</v>
      </c>
      <c r="D44" s="352"/>
      <c r="E44" s="352"/>
      <c r="F44" s="352"/>
      <c r="G44" s="352"/>
      <c r="H44" s="352"/>
      <c r="I44" s="353"/>
      <c r="J44" s="348">
        <v>0</v>
      </c>
      <c r="K44" s="349"/>
      <c r="L44" s="349"/>
      <c r="M44" s="349"/>
      <c r="N44" s="350"/>
      <c r="O44" s="9"/>
    </row>
    <row r="45" spans="2:22" ht="13.9" customHeight="1">
      <c r="B45" s="5"/>
      <c r="C45" s="135" t="s">
        <v>288</v>
      </c>
      <c r="D45" s="331"/>
      <c r="E45" s="331"/>
      <c r="F45" s="331"/>
      <c r="G45" s="331"/>
      <c r="H45" s="331"/>
      <c r="I45" s="331"/>
      <c r="J45" s="336">
        <f>SUM(J46:M47)</f>
        <v>0</v>
      </c>
      <c r="K45" s="337"/>
      <c r="L45" s="337"/>
      <c r="M45" s="337"/>
      <c r="N45" s="338"/>
      <c r="O45" s="9"/>
      <c r="R45" s="53"/>
      <c r="S45" s="152"/>
      <c r="T45" s="152"/>
      <c r="U45" s="318"/>
    </row>
    <row r="46" spans="2:22">
      <c r="B46" s="5"/>
      <c r="C46" s="339" t="s">
        <v>289</v>
      </c>
      <c r="D46" s="335"/>
      <c r="E46" s="335"/>
      <c r="F46" s="335"/>
      <c r="G46" s="335"/>
      <c r="H46" s="335"/>
      <c r="I46" s="335"/>
      <c r="J46" s="138">
        <v>0</v>
      </c>
      <c r="K46" s="139"/>
      <c r="L46" s="139"/>
      <c r="M46" s="139"/>
      <c r="N46" s="355"/>
      <c r="O46" s="9"/>
      <c r="R46" s="53"/>
    </row>
    <row r="47" spans="2:22">
      <c r="B47" s="5"/>
      <c r="C47" s="356" t="s">
        <v>290</v>
      </c>
      <c r="D47" s="346"/>
      <c r="E47" s="346"/>
      <c r="F47" s="346"/>
      <c r="G47" s="346"/>
      <c r="H47" s="346"/>
      <c r="I47" s="346"/>
      <c r="J47" s="342">
        <v>0</v>
      </c>
      <c r="K47" s="343"/>
      <c r="L47" s="343"/>
      <c r="M47" s="343"/>
      <c r="N47" s="357"/>
      <c r="O47" s="9"/>
      <c r="R47" s="53"/>
      <c r="S47" s="111"/>
      <c r="T47" s="111"/>
    </row>
    <row r="48" spans="2:22">
      <c r="B48" s="5"/>
      <c r="C48" s="358" t="s">
        <v>291</v>
      </c>
      <c r="D48" s="359"/>
      <c r="E48" s="359"/>
      <c r="F48" s="359"/>
      <c r="G48" s="359"/>
      <c r="H48" s="359"/>
      <c r="I48" s="359"/>
      <c r="J48" s="359"/>
      <c r="K48" s="359"/>
      <c r="L48" s="359"/>
      <c r="M48" s="359"/>
      <c r="N48" s="360"/>
      <c r="O48" s="9"/>
    </row>
    <row r="49" spans="2:22" ht="15.75" thickBot="1">
      <c r="B49" s="5"/>
      <c r="C49" s="266" t="s">
        <v>292</v>
      </c>
      <c r="D49" s="361"/>
      <c r="E49" s="361"/>
      <c r="F49" s="361"/>
      <c r="G49" s="361"/>
      <c r="H49" s="361"/>
      <c r="I49" s="362"/>
      <c r="J49" s="363">
        <v>1410912363.0565</v>
      </c>
      <c r="K49" s="363"/>
      <c r="L49" s="363"/>
      <c r="M49" s="363"/>
      <c r="N49" s="364"/>
      <c r="O49" s="9"/>
      <c r="Q49" s="53"/>
      <c r="R49" s="53"/>
      <c r="S49" s="53"/>
    </row>
    <row r="50" spans="2:22" ht="15.75" thickBot="1">
      <c r="B50" s="5"/>
      <c r="C50" s="365"/>
      <c r="D50" s="365"/>
      <c r="E50" s="365"/>
      <c r="F50" s="365"/>
      <c r="G50" s="365"/>
      <c r="H50" s="365"/>
      <c r="I50" s="365"/>
      <c r="J50" s="365"/>
      <c r="K50" s="365"/>
      <c r="L50" s="365"/>
      <c r="M50" s="365"/>
      <c r="N50" s="365"/>
      <c r="O50" s="9"/>
    </row>
    <row r="51" spans="2:22">
      <c r="B51" s="5"/>
      <c r="C51" s="98" t="s">
        <v>293</v>
      </c>
      <c r="D51" s="99"/>
      <c r="E51" s="99"/>
      <c r="F51" s="99"/>
      <c r="G51" s="99"/>
      <c r="H51" s="99"/>
      <c r="I51" s="99"/>
      <c r="J51" s="99"/>
      <c r="K51" s="99"/>
      <c r="L51" s="99"/>
      <c r="M51" s="99"/>
      <c r="N51" s="100"/>
      <c r="O51" s="9"/>
      <c r="Q51" s="316"/>
      <c r="R51" s="53"/>
      <c r="S51" s="111"/>
      <c r="V51" s="111"/>
    </row>
    <row r="52" spans="2:22">
      <c r="B52" s="5"/>
      <c r="C52" s="366"/>
      <c r="D52" s="258"/>
      <c r="E52" s="258"/>
      <c r="F52" s="258"/>
      <c r="G52" s="258"/>
      <c r="H52" s="258"/>
      <c r="I52" s="275" t="s">
        <v>294</v>
      </c>
      <c r="J52" s="277"/>
      <c r="K52" s="276"/>
      <c r="L52" s="275" t="s">
        <v>295</v>
      </c>
      <c r="M52" s="277"/>
      <c r="N52" s="278"/>
      <c r="O52" s="9"/>
    </row>
    <row r="53" spans="2:22">
      <c r="B53" s="5"/>
      <c r="C53" s="165" t="s">
        <v>296</v>
      </c>
      <c r="D53" s="367"/>
      <c r="E53" s="367"/>
      <c r="F53" s="367"/>
      <c r="G53" s="367"/>
      <c r="H53" s="367"/>
      <c r="I53" s="336">
        <f>I63-I54-I58</f>
        <v>1000784948.6514997</v>
      </c>
      <c r="J53" s="337"/>
      <c r="K53" s="338"/>
      <c r="L53" s="336">
        <f>L63-L54-L58</f>
        <v>1203905984.5764999</v>
      </c>
      <c r="M53" s="337"/>
      <c r="N53" s="338"/>
      <c r="O53" s="9"/>
    </row>
    <row r="54" spans="2:22">
      <c r="B54" s="5"/>
      <c r="C54" s="135" t="s">
        <v>297</v>
      </c>
      <c r="D54" s="368"/>
      <c r="E54" s="368"/>
      <c r="F54" s="368"/>
      <c r="G54" s="368"/>
      <c r="H54" s="368"/>
      <c r="I54" s="336">
        <f>SUM(I55:J57)</f>
        <v>80179115.993500009</v>
      </c>
      <c r="J54" s="337"/>
      <c r="K54" s="369"/>
      <c r="L54" s="336">
        <f>SUM(L55:M57)</f>
        <v>205526659.9285</v>
      </c>
      <c r="M54" s="337"/>
      <c r="N54" s="338"/>
      <c r="O54" s="9"/>
    </row>
    <row r="55" spans="2:22">
      <c r="B55" s="5"/>
      <c r="C55" s="86" t="s">
        <v>298</v>
      </c>
      <c r="D55" s="370"/>
      <c r="E55" s="370"/>
      <c r="F55" s="370"/>
      <c r="G55" s="370"/>
      <c r="H55" s="370"/>
      <c r="I55" s="215">
        <v>69239283.620500013</v>
      </c>
      <c r="J55" s="216"/>
      <c r="K55" s="371"/>
      <c r="L55" s="215">
        <v>162176720.39700001</v>
      </c>
      <c r="M55" s="216"/>
      <c r="N55" s="340"/>
      <c r="O55" s="9"/>
    </row>
    <row r="56" spans="2:22">
      <c r="B56" s="5"/>
      <c r="C56" s="372" t="s">
        <v>299</v>
      </c>
      <c r="D56" s="370"/>
      <c r="E56" s="370"/>
      <c r="F56" s="370"/>
      <c r="G56" s="370"/>
      <c r="H56" s="370"/>
      <c r="I56" s="215">
        <v>10939832.373</v>
      </c>
      <c r="J56" s="216"/>
      <c r="K56" s="371"/>
      <c r="L56" s="215">
        <v>39019107.751000002</v>
      </c>
      <c r="M56" s="216"/>
      <c r="N56" s="340"/>
      <c r="O56" s="9"/>
    </row>
    <row r="57" spans="2:22">
      <c r="B57" s="5"/>
      <c r="C57" s="373" t="s">
        <v>300</v>
      </c>
      <c r="D57" s="374"/>
      <c r="E57" s="374"/>
      <c r="F57" s="374"/>
      <c r="G57" s="374"/>
      <c r="H57" s="374"/>
      <c r="I57" s="342">
        <v>0</v>
      </c>
      <c r="J57" s="343"/>
      <c r="K57" s="375"/>
      <c r="L57" s="342">
        <v>4330831.7804999994</v>
      </c>
      <c r="M57" s="343"/>
      <c r="N57" s="341"/>
      <c r="O57" s="9"/>
    </row>
    <row r="58" spans="2:22">
      <c r="B58" s="5"/>
      <c r="C58" s="376" t="s">
        <v>301</v>
      </c>
      <c r="D58" s="368"/>
      <c r="E58" s="368"/>
      <c r="F58" s="368"/>
      <c r="G58" s="368"/>
      <c r="H58" s="368"/>
      <c r="I58" s="336">
        <f>SUM(I59:J62)</f>
        <v>0</v>
      </c>
      <c r="J58" s="337"/>
      <c r="K58" s="369"/>
      <c r="L58" s="336">
        <f>SUM(L59:M62)</f>
        <v>1479718.5515000001</v>
      </c>
      <c r="M58" s="337"/>
      <c r="N58" s="338"/>
      <c r="O58" s="9"/>
    </row>
    <row r="59" spans="2:22">
      <c r="B59" s="5"/>
      <c r="C59" s="372" t="s">
        <v>302</v>
      </c>
      <c r="D59" s="370"/>
      <c r="E59" s="370"/>
      <c r="F59" s="370"/>
      <c r="G59" s="370"/>
      <c r="H59" s="370"/>
      <c r="I59" s="215">
        <v>0</v>
      </c>
      <c r="J59" s="216"/>
      <c r="K59" s="371"/>
      <c r="L59" s="215">
        <v>1479718.5515000001</v>
      </c>
      <c r="M59" s="216"/>
      <c r="N59" s="340"/>
      <c r="O59" s="9"/>
    </row>
    <row r="60" spans="2:22">
      <c r="B60" s="5"/>
      <c r="C60" s="372" t="s">
        <v>303</v>
      </c>
      <c r="D60" s="370"/>
      <c r="E60" s="370"/>
      <c r="F60" s="370"/>
      <c r="G60" s="370"/>
      <c r="H60" s="370"/>
      <c r="I60" s="215">
        <v>0</v>
      </c>
      <c r="J60" s="216"/>
      <c r="K60" s="371"/>
      <c r="L60" s="215">
        <v>0</v>
      </c>
      <c r="M60" s="216"/>
      <c r="N60" s="340"/>
      <c r="O60" s="9"/>
    </row>
    <row r="61" spans="2:22">
      <c r="B61" s="5"/>
      <c r="C61" s="372" t="s">
        <v>304</v>
      </c>
      <c r="D61" s="370"/>
      <c r="E61" s="370"/>
      <c r="F61" s="370"/>
      <c r="G61" s="370"/>
      <c r="H61" s="370"/>
      <c r="I61" s="215">
        <v>0</v>
      </c>
      <c r="J61" s="216"/>
      <c r="K61" s="371"/>
      <c r="L61" s="215">
        <v>0</v>
      </c>
      <c r="M61" s="216"/>
      <c r="N61" s="340"/>
      <c r="O61" s="9"/>
    </row>
    <row r="62" spans="2:22">
      <c r="B62" s="5"/>
      <c r="C62" s="373" t="s">
        <v>305</v>
      </c>
      <c r="D62" s="374"/>
      <c r="E62" s="374"/>
      <c r="F62" s="374"/>
      <c r="G62" s="374"/>
      <c r="H62" s="374"/>
      <c r="I62" s="342">
        <v>0</v>
      </c>
      <c r="J62" s="343"/>
      <c r="K62" s="375"/>
      <c r="L62" s="342">
        <v>0</v>
      </c>
      <c r="M62" s="343"/>
      <c r="N62" s="341"/>
      <c r="O62" s="9"/>
    </row>
    <row r="63" spans="2:22" ht="15.75" thickBot="1">
      <c r="B63" s="5"/>
      <c r="C63" s="168" t="s">
        <v>306</v>
      </c>
      <c r="D63" s="377"/>
      <c r="E63" s="377"/>
      <c r="F63" s="377"/>
      <c r="G63" s="377"/>
      <c r="H63" s="377"/>
      <c r="I63" s="378">
        <v>1080964064.6449997</v>
      </c>
      <c r="J63" s="379"/>
      <c r="K63" s="380"/>
      <c r="L63" s="378">
        <f>J49</f>
        <v>1410912363.0565</v>
      </c>
      <c r="M63" s="379"/>
      <c r="N63" s="381"/>
      <c r="O63" s="9"/>
    </row>
    <row r="64" spans="2:22" ht="15.75" thickBot="1">
      <c r="B64" s="5"/>
      <c r="C64" s="365"/>
      <c r="D64" s="365"/>
      <c r="E64" s="365"/>
      <c r="F64" s="365"/>
      <c r="G64" s="365"/>
      <c r="H64" s="365"/>
      <c r="I64" s="365"/>
      <c r="J64" s="365"/>
      <c r="K64" s="365"/>
      <c r="L64" s="365"/>
      <c r="M64" s="365"/>
      <c r="N64" s="365"/>
      <c r="O64" s="9"/>
    </row>
    <row r="65" spans="2:17">
      <c r="B65" s="5"/>
      <c r="C65" s="98" t="s">
        <v>307</v>
      </c>
      <c r="D65" s="99"/>
      <c r="E65" s="99"/>
      <c r="F65" s="99"/>
      <c r="G65" s="99"/>
      <c r="H65" s="99"/>
      <c r="I65" s="99"/>
      <c r="J65" s="99"/>
      <c r="K65" s="99"/>
      <c r="L65" s="99"/>
      <c r="M65" s="99"/>
      <c r="N65" s="100"/>
      <c r="O65" s="9"/>
    </row>
    <row r="66" spans="2:17">
      <c r="B66" s="5"/>
      <c r="C66" s="382"/>
      <c r="D66" s="352"/>
      <c r="E66" s="352"/>
      <c r="F66" s="275" t="s">
        <v>141</v>
      </c>
      <c r="G66" s="277"/>
      <c r="H66" s="276"/>
      <c r="I66" s="275" t="s">
        <v>308</v>
      </c>
      <c r="J66" s="277"/>
      <c r="K66" s="276"/>
      <c r="L66" s="275" t="s">
        <v>309</v>
      </c>
      <c r="M66" s="277"/>
      <c r="N66" s="278"/>
      <c r="O66" s="9"/>
    </row>
    <row r="67" spans="2:17">
      <c r="B67" s="5"/>
      <c r="C67" s="165" t="s">
        <v>310</v>
      </c>
      <c r="D67" s="352"/>
      <c r="E67" s="353"/>
      <c r="F67" s="383" t="s">
        <v>311</v>
      </c>
      <c r="G67" s="384"/>
      <c r="H67" s="385"/>
      <c r="I67" s="386">
        <v>0.60598919462518319</v>
      </c>
      <c r="J67" s="387"/>
      <c r="K67" s="388"/>
      <c r="L67" s="389">
        <v>0.61456087812570692</v>
      </c>
      <c r="M67" s="390"/>
      <c r="N67" s="391"/>
      <c r="O67" s="9"/>
    </row>
    <row r="68" spans="2:17">
      <c r="B68" s="5"/>
      <c r="C68" s="165" t="s">
        <v>312</v>
      </c>
      <c r="D68" s="352"/>
      <c r="E68" s="353"/>
      <c r="F68" s="392" t="s">
        <v>313</v>
      </c>
      <c r="G68" s="384"/>
      <c r="H68" s="385"/>
      <c r="I68" s="386">
        <v>0.18333308039068183</v>
      </c>
      <c r="J68" s="387"/>
      <c r="K68" s="388"/>
      <c r="L68" s="389">
        <v>0.21642837391685033</v>
      </c>
      <c r="M68" s="393"/>
      <c r="N68" s="394"/>
      <c r="O68" s="9"/>
    </row>
    <row r="69" spans="2:17">
      <c r="B69" s="5"/>
      <c r="C69" s="165" t="s">
        <v>314</v>
      </c>
      <c r="D69" s="352"/>
      <c r="E69" s="353"/>
      <c r="F69" s="392" t="s">
        <v>315</v>
      </c>
      <c r="G69" s="384"/>
      <c r="H69" s="385"/>
      <c r="I69" s="395">
        <v>37.991835046619812</v>
      </c>
      <c r="J69" s="396"/>
      <c r="K69" s="397"/>
      <c r="L69" s="395">
        <v>34.295580670476625</v>
      </c>
      <c r="M69" s="396"/>
      <c r="N69" s="397"/>
      <c r="O69" s="9"/>
    </row>
    <row r="70" spans="2:17">
      <c r="B70" s="5"/>
      <c r="C70" s="145" t="s">
        <v>316</v>
      </c>
      <c r="D70" s="370"/>
      <c r="E70" s="370"/>
      <c r="F70" s="398" t="s">
        <v>317</v>
      </c>
      <c r="G70" s="399"/>
      <c r="H70" s="400"/>
      <c r="I70" s="401">
        <v>3.2461514005554623E-2</v>
      </c>
      <c r="J70" s="402"/>
      <c r="K70" s="403"/>
      <c r="L70" s="389">
        <v>3.2905106931379699E-2</v>
      </c>
      <c r="M70" s="393"/>
      <c r="N70" s="394"/>
      <c r="O70" s="9"/>
    </row>
    <row r="71" spans="2:17">
      <c r="B71" s="5"/>
      <c r="C71" s="165" t="s">
        <v>318</v>
      </c>
      <c r="D71" s="367"/>
      <c r="E71" s="404"/>
      <c r="F71" s="405">
        <v>0.22</v>
      </c>
      <c r="G71" s="406">
        <v>0.22</v>
      </c>
      <c r="H71" s="407">
        <v>0.22</v>
      </c>
      <c r="I71" s="386">
        <v>0.2166333235202457</v>
      </c>
      <c r="J71" s="387"/>
      <c r="K71" s="388"/>
      <c r="L71" s="386">
        <v>0.17278841773834364</v>
      </c>
      <c r="M71" s="387"/>
      <c r="N71" s="408"/>
      <c r="O71" s="9"/>
    </row>
    <row r="72" spans="2:17">
      <c r="B72" s="5"/>
      <c r="C72" s="165" t="s">
        <v>319</v>
      </c>
      <c r="D72" s="370"/>
      <c r="E72" s="370"/>
      <c r="F72" s="405">
        <v>0.27</v>
      </c>
      <c r="G72" s="406">
        <v>0.27</v>
      </c>
      <c r="H72" s="407">
        <v>0.27</v>
      </c>
      <c r="I72" s="386">
        <v>0.25187613424449601</v>
      </c>
      <c r="J72" s="387"/>
      <c r="K72" s="388"/>
      <c r="L72" s="386">
        <v>0.20109572060546058</v>
      </c>
      <c r="M72" s="387"/>
      <c r="N72" s="408"/>
      <c r="O72" s="9"/>
    </row>
    <row r="73" spans="2:17">
      <c r="B73" s="5"/>
      <c r="C73" s="165" t="s">
        <v>320</v>
      </c>
      <c r="D73" s="367"/>
      <c r="E73" s="404"/>
      <c r="F73" s="405">
        <v>0.32</v>
      </c>
      <c r="G73" s="406">
        <v>0.32</v>
      </c>
      <c r="H73" s="407">
        <v>0.32</v>
      </c>
      <c r="I73" s="386">
        <v>0.28444467822663277</v>
      </c>
      <c r="J73" s="387"/>
      <c r="K73" s="388"/>
      <c r="L73" s="386">
        <v>0.22788541776859075</v>
      </c>
      <c r="M73" s="387"/>
      <c r="N73" s="408"/>
      <c r="O73" s="9"/>
    </row>
    <row r="74" spans="2:17">
      <c r="B74" s="5"/>
      <c r="C74" s="165" t="s">
        <v>321</v>
      </c>
      <c r="D74" s="367"/>
      <c r="E74" s="404"/>
      <c r="F74" s="405">
        <v>0.36</v>
      </c>
      <c r="G74" s="406">
        <v>0.36</v>
      </c>
      <c r="H74" s="407">
        <v>0.36</v>
      </c>
      <c r="I74" s="386">
        <v>0.31469805373615073</v>
      </c>
      <c r="J74" s="387"/>
      <c r="K74" s="388"/>
      <c r="L74" s="386">
        <v>0.25332148170827773</v>
      </c>
      <c r="M74" s="387"/>
      <c r="N74" s="408"/>
      <c r="O74" s="9"/>
    </row>
    <row r="75" spans="2:17" ht="15.75" thickBot="1">
      <c r="B75" s="5"/>
      <c r="C75" s="168" t="s">
        <v>322</v>
      </c>
      <c r="D75" s="377"/>
      <c r="E75" s="377"/>
      <c r="F75" s="409">
        <v>0.47</v>
      </c>
      <c r="G75" s="410">
        <v>0.47</v>
      </c>
      <c r="H75" s="411">
        <v>0.47</v>
      </c>
      <c r="I75" s="412">
        <v>0.3445101487761309</v>
      </c>
      <c r="J75" s="413"/>
      <c r="K75" s="414"/>
      <c r="L75" s="412">
        <v>0.27741391022478851</v>
      </c>
      <c r="M75" s="413"/>
      <c r="N75" s="415"/>
      <c r="O75" s="9"/>
    </row>
    <row r="76" spans="2:17" ht="15.75" thickBot="1">
      <c r="B76" s="5"/>
      <c r="C76" s="365"/>
      <c r="D76" s="365"/>
      <c r="E76" s="365"/>
      <c r="F76" s="365"/>
      <c r="G76" s="365"/>
      <c r="H76" s="365"/>
      <c r="I76" s="365"/>
      <c r="J76" s="365"/>
      <c r="K76" s="365"/>
      <c r="L76" s="365"/>
      <c r="M76" s="365"/>
      <c r="N76" s="365"/>
      <c r="O76" s="9"/>
    </row>
    <row r="77" spans="2:17">
      <c r="B77" s="5"/>
      <c r="C77" s="98" t="s">
        <v>323</v>
      </c>
      <c r="D77" s="99"/>
      <c r="E77" s="99"/>
      <c r="F77" s="99"/>
      <c r="G77" s="264"/>
      <c r="H77" s="264"/>
      <c r="I77" s="99"/>
      <c r="J77" s="99"/>
      <c r="K77" s="99"/>
      <c r="L77" s="99"/>
      <c r="M77" s="99"/>
      <c r="N77" s="100"/>
      <c r="O77" s="9"/>
    </row>
    <row r="78" spans="2:17">
      <c r="B78" s="5"/>
      <c r="C78" s="416" t="s">
        <v>324</v>
      </c>
      <c r="D78" s="367"/>
      <c r="E78" s="367"/>
      <c r="F78" s="367"/>
      <c r="G78" s="275" t="s">
        <v>325</v>
      </c>
      <c r="H78" s="276"/>
      <c r="I78" s="275" t="s">
        <v>326</v>
      </c>
      <c r="J78" s="276"/>
      <c r="K78" s="275" t="s">
        <v>327</v>
      </c>
      <c r="L78" s="276"/>
      <c r="M78" s="277" t="s">
        <v>328</v>
      </c>
      <c r="N78" s="276"/>
      <c r="O78" s="9"/>
    </row>
    <row r="79" spans="2:17">
      <c r="B79" s="5"/>
      <c r="C79" s="417" t="s">
        <v>329</v>
      </c>
      <c r="D79" s="335"/>
      <c r="E79" s="335"/>
      <c r="F79" s="335"/>
      <c r="G79" s="418">
        <v>811276874.77350032</v>
      </c>
      <c r="H79" s="419"/>
      <c r="I79" s="420">
        <f>G79/$G$84</f>
        <v>0.57500160606432538</v>
      </c>
      <c r="J79" s="421"/>
      <c r="K79" s="418">
        <v>153</v>
      </c>
      <c r="L79" s="419"/>
      <c r="M79" s="420">
        <f>K79/$K$84</f>
        <v>0.64016736401673635</v>
      </c>
      <c r="N79" s="421"/>
      <c r="O79" s="9"/>
      <c r="Q79" s="136"/>
    </row>
    <row r="80" spans="2:17">
      <c r="B80" s="5"/>
      <c r="C80" s="417" t="s">
        <v>330</v>
      </c>
      <c r="D80" s="335"/>
      <c r="E80" s="335"/>
      <c r="F80" s="335"/>
      <c r="G80" s="418">
        <v>265989938.66750005</v>
      </c>
      <c r="H80" s="419"/>
      <c r="I80" s="420">
        <f t="shared" ref="I80:I83" si="0">G80/$G$84</f>
        <v>0.18852335951701374</v>
      </c>
      <c r="J80" s="421"/>
      <c r="K80" s="418">
        <v>28</v>
      </c>
      <c r="L80" s="419"/>
      <c r="M80" s="420">
        <f t="shared" ref="M80:M83" si="1">K80/$K$84</f>
        <v>0.11715481171548117</v>
      </c>
      <c r="N80" s="421"/>
      <c r="O80" s="9"/>
      <c r="P80" s="422"/>
      <c r="Q80" s="136"/>
    </row>
    <row r="81" spans="2:17">
      <c r="B81" s="5"/>
      <c r="C81" s="417" t="s">
        <v>331</v>
      </c>
      <c r="D81" s="335"/>
      <c r="E81" s="335"/>
      <c r="F81" s="335"/>
      <c r="G81" s="418">
        <v>67865528.924999997</v>
      </c>
      <c r="H81" s="419"/>
      <c r="I81" s="420">
        <f t="shared" si="0"/>
        <v>4.8100456627923317E-2</v>
      </c>
      <c r="J81" s="421"/>
      <c r="K81" s="418">
        <v>9</v>
      </c>
      <c r="L81" s="419"/>
      <c r="M81" s="420">
        <f t="shared" si="1"/>
        <v>3.7656903765690378E-2</v>
      </c>
      <c r="N81" s="421"/>
      <c r="O81" s="9"/>
      <c r="Q81" s="136"/>
    </row>
    <row r="82" spans="2:17">
      <c r="B82" s="5"/>
      <c r="C82" s="417" t="s">
        <v>332</v>
      </c>
      <c r="D82" s="335"/>
      <c r="E82" s="335"/>
      <c r="F82" s="335"/>
      <c r="G82" s="418">
        <v>49594285.270000003</v>
      </c>
      <c r="H82" s="419"/>
      <c r="I82" s="420">
        <f t="shared" si="0"/>
        <v>3.5150507266491354E-2</v>
      </c>
      <c r="J82" s="421"/>
      <c r="K82" s="418">
        <v>12</v>
      </c>
      <c r="L82" s="419"/>
      <c r="M82" s="420">
        <f t="shared" si="1"/>
        <v>5.0209205020920501E-2</v>
      </c>
      <c r="N82" s="421"/>
      <c r="O82" s="9"/>
      <c r="Q82" s="136"/>
    </row>
    <row r="83" spans="2:17">
      <c r="B83" s="5"/>
      <c r="C83" s="417" t="s">
        <v>333</v>
      </c>
      <c r="D83" s="335"/>
      <c r="E83" s="335"/>
      <c r="F83" s="335"/>
      <c r="G83" s="423">
        <v>216185735.42049995</v>
      </c>
      <c r="H83" s="424"/>
      <c r="I83" s="420">
        <f t="shared" si="0"/>
        <v>0.15322407052424611</v>
      </c>
      <c r="J83" s="421"/>
      <c r="K83" s="418">
        <v>37</v>
      </c>
      <c r="L83" s="419"/>
      <c r="M83" s="420">
        <f t="shared" si="1"/>
        <v>0.15481171548117154</v>
      </c>
      <c r="N83" s="421"/>
      <c r="O83" s="9"/>
      <c r="Q83" s="136"/>
    </row>
    <row r="84" spans="2:17">
      <c r="B84" s="5"/>
      <c r="C84" s="416" t="s">
        <v>334</v>
      </c>
      <c r="D84" s="367"/>
      <c r="E84" s="367"/>
      <c r="F84" s="367"/>
      <c r="G84" s="425">
        <f>SUM(G79:H83)</f>
        <v>1410912363.0565004</v>
      </c>
      <c r="H84" s="426"/>
      <c r="I84" s="427">
        <f>SUM(I79:J83)</f>
        <v>0.99999999999999989</v>
      </c>
      <c r="J84" s="428"/>
      <c r="K84" s="429">
        <f>SUM(K79:L83)</f>
        <v>239</v>
      </c>
      <c r="L84" s="430"/>
      <c r="M84" s="431">
        <f>SUM(M79:N83)</f>
        <v>1</v>
      </c>
      <c r="N84" s="430"/>
      <c r="O84" s="9"/>
    </row>
    <row r="85" spans="2:17">
      <c r="B85" s="5"/>
      <c r="C85" s="365"/>
      <c r="D85" s="365"/>
      <c r="E85" s="365"/>
      <c r="F85" s="365"/>
      <c r="G85" s="365"/>
      <c r="H85" s="365"/>
      <c r="I85" s="365"/>
      <c r="J85" s="365"/>
      <c r="K85" s="365"/>
      <c r="L85" s="365"/>
      <c r="M85" s="365"/>
      <c r="N85" s="365"/>
      <c r="O85" s="9"/>
    </row>
    <row r="86" spans="2:17">
      <c r="B86" s="5"/>
      <c r="C86" s="416" t="s">
        <v>335</v>
      </c>
      <c r="D86" s="367"/>
      <c r="E86" s="367"/>
      <c r="F86" s="367"/>
      <c r="G86" s="275" t="s">
        <v>325</v>
      </c>
      <c r="H86" s="276"/>
      <c r="I86" s="275" t="s">
        <v>326</v>
      </c>
      <c r="J86" s="276"/>
      <c r="K86" s="275" t="s">
        <v>327</v>
      </c>
      <c r="L86" s="276"/>
      <c r="M86" s="277" t="s">
        <v>328</v>
      </c>
      <c r="N86" s="276"/>
      <c r="O86" s="9"/>
    </row>
    <row r="87" spans="2:17">
      <c r="B87" s="5"/>
      <c r="C87" s="417" t="s">
        <v>336</v>
      </c>
      <c r="D87" s="335"/>
      <c r="E87" s="335"/>
      <c r="F87" s="335"/>
      <c r="G87" s="418">
        <v>12961435.948499998</v>
      </c>
      <c r="H87" s="419"/>
      <c r="I87" s="420">
        <f>G87/$G$92</f>
        <v>9.1865634520497588E-3</v>
      </c>
      <c r="J87" s="421"/>
      <c r="K87" s="418">
        <v>13</v>
      </c>
      <c r="L87" s="419"/>
      <c r="M87" s="432">
        <f>K87/$K$92</f>
        <v>5.4393305439330547E-2</v>
      </c>
      <c r="N87" s="433"/>
      <c r="O87" s="9"/>
    </row>
    <row r="88" spans="2:17">
      <c r="B88" s="5"/>
      <c r="C88" s="417" t="s">
        <v>337</v>
      </c>
      <c r="D88" s="335"/>
      <c r="E88" s="335"/>
      <c r="F88" s="335"/>
      <c r="G88" s="418">
        <v>217911576.78650004</v>
      </c>
      <c r="H88" s="419"/>
      <c r="I88" s="420">
        <f t="shared" ref="I88:I91" si="2">G88/$G$92</f>
        <v>0.15444727999578373</v>
      </c>
      <c r="J88" s="421"/>
      <c r="K88" s="418">
        <v>55</v>
      </c>
      <c r="L88" s="419"/>
      <c r="M88" s="420">
        <f t="shared" ref="M88:M91" si="3">K88/$K$92</f>
        <v>0.23012552301255229</v>
      </c>
      <c r="N88" s="421"/>
      <c r="O88" s="9"/>
    </row>
    <row r="89" spans="2:17">
      <c r="B89" s="5"/>
      <c r="C89" s="417" t="s">
        <v>338</v>
      </c>
      <c r="D89" s="335"/>
      <c r="E89" s="335"/>
      <c r="F89" s="335"/>
      <c r="G89" s="418">
        <v>276470336.57750022</v>
      </c>
      <c r="H89" s="419"/>
      <c r="I89" s="420">
        <f t="shared" si="2"/>
        <v>0.19595145936532493</v>
      </c>
      <c r="J89" s="421"/>
      <c r="K89" s="418">
        <v>64</v>
      </c>
      <c r="L89" s="419"/>
      <c r="M89" s="420">
        <f t="shared" si="3"/>
        <v>0.26778242677824265</v>
      </c>
      <c r="N89" s="421"/>
      <c r="O89" s="9"/>
    </row>
    <row r="90" spans="2:17">
      <c r="B90" s="5"/>
      <c r="C90" s="417" t="s">
        <v>339</v>
      </c>
      <c r="D90" s="335"/>
      <c r="E90" s="335"/>
      <c r="F90" s="335"/>
      <c r="G90" s="418">
        <v>598207545.26850033</v>
      </c>
      <c r="H90" s="419"/>
      <c r="I90" s="420">
        <f t="shared" si="2"/>
        <v>0.42398632326999131</v>
      </c>
      <c r="J90" s="421"/>
      <c r="K90" s="418">
        <v>66</v>
      </c>
      <c r="L90" s="419"/>
      <c r="M90" s="420">
        <f t="shared" si="3"/>
        <v>0.27615062761506276</v>
      </c>
      <c r="N90" s="421"/>
      <c r="O90" s="9"/>
    </row>
    <row r="91" spans="2:17">
      <c r="B91" s="5"/>
      <c r="C91" s="417" t="s">
        <v>340</v>
      </c>
      <c r="D91" s="335"/>
      <c r="E91" s="335"/>
      <c r="F91" s="335"/>
      <c r="G91" s="423">
        <v>305361468.47549903</v>
      </c>
      <c r="H91" s="424"/>
      <c r="I91" s="420">
        <f t="shared" si="2"/>
        <v>0.21642837391685038</v>
      </c>
      <c r="J91" s="421"/>
      <c r="K91" s="418">
        <v>41</v>
      </c>
      <c r="L91" s="419"/>
      <c r="M91" s="434">
        <f t="shared" si="3"/>
        <v>0.17154811715481172</v>
      </c>
      <c r="N91" s="435"/>
      <c r="O91" s="9"/>
    </row>
    <row r="92" spans="2:17">
      <c r="B92" s="5"/>
      <c r="C92" s="416" t="s">
        <v>334</v>
      </c>
      <c r="D92" s="367"/>
      <c r="E92" s="367"/>
      <c r="F92" s="367"/>
      <c r="G92" s="425">
        <f>SUM(G87:H91)</f>
        <v>1410912363.0564995</v>
      </c>
      <c r="H92" s="426"/>
      <c r="I92" s="431">
        <f>SUM(I87:J91)</f>
        <v>1.0000000000000002</v>
      </c>
      <c r="J92" s="436"/>
      <c r="K92" s="437">
        <f>SUM(K87:L91)</f>
        <v>239</v>
      </c>
      <c r="L92" s="438"/>
      <c r="M92" s="427">
        <f>SUM(M87:N91)</f>
        <v>0.99999999999999978</v>
      </c>
      <c r="N92" s="428"/>
      <c r="O92" s="9"/>
    </row>
    <row r="93" spans="2:17">
      <c r="B93" s="5"/>
      <c r="C93" s="13"/>
      <c r="D93" s="13"/>
      <c r="E93" s="13"/>
      <c r="F93" s="13"/>
      <c r="G93" s="13"/>
      <c r="H93" s="13"/>
      <c r="I93" s="13"/>
      <c r="J93" s="13"/>
      <c r="K93" s="13"/>
      <c r="L93" s="13"/>
      <c r="M93" s="13"/>
      <c r="N93" s="13"/>
      <c r="O93" s="9"/>
    </row>
    <row r="94" spans="2:17">
      <c r="B94" s="5"/>
      <c r="C94" s="416" t="s">
        <v>341</v>
      </c>
      <c r="D94" s="367"/>
      <c r="E94" s="367"/>
      <c r="F94" s="367"/>
      <c r="G94" s="275" t="s">
        <v>325</v>
      </c>
      <c r="H94" s="276"/>
      <c r="I94" s="277" t="s">
        <v>326</v>
      </c>
      <c r="J94" s="276"/>
      <c r="K94" s="275" t="s">
        <v>327</v>
      </c>
      <c r="L94" s="276"/>
      <c r="M94" s="439" t="s">
        <v>328</v>
      </c>
      <c r="N94" s="440"/>
      <c r="O94" s="9"/>
    </row>
    <row r="95" spans="2:17">
      <c r="B95" s="5"/>
      <c r="C95" s="417">
        <v>2007</v>
      </c>
      <c r="D95" s="335"/>
      <c r="E95" s="335"/>
      <c r="F95" s="335"/>
      <c r="G95" s="418">
        <v>0</v>
      </c>
      <c r="H95" s="419"/>
      <c r="I95" s="441">
        <f>G95/$G$111</f>
        <v>0</v>
      </c>
      <c r="J95" s="421"/>
      <c r="K95" s="418">
        <v>0</v>
      </c>
      <c r="L95" s="442"/>
      <c r="M95" s="432">
        <f>K95/$K$111</f>
        <v>0</v>
      </c>
      <c r="N95" s="433"/>
      <c r="O95" s="9"/>
    </row>
    <row r="96" spans="2:17">
      <c r="B96" s="5"/>
      <c r="C96" s="417">
        <v>2008</v>
      </c>
      <c r="D96" s="335"/>
      <c r="E96" s="335"/>
      <c r="F96" s="335"/>
      <c r="G96" s="418">
        <v>0</v>
      </c>
      <c r="H96" s="419"/>
      <c r="I96" s="441">
        <f t="shared" ref="I96:I110" si="4">G96/$G$111</f>
        <v>0</v>
      </c>
      <c r="J96" s="421"/>
      <c r="K96" s="418">
        <v>0</v>
      </c>
      <c r="L96" s="442"/>
      <c r="M96" s="420">
        <f t="shared" ref="M96:M110" si="5">K96/$K$111</f>
        <v>0</v>
      </c>
      <c r="N96" s="421"/>
      <c r="O96" s="9"/>
    </row>
    <row r="97" spans="2:15">
      <c r="B97" s="5"/>
      <c r="C97" s="417">
        <v>2009</v>
      </c>
      <c r="D97" s="335"/>
      <c r="E97" s="335"/>
      <c r="F97" s="335"/>
      <c r="G97" s="418">
        <v>0</v>
      </c>
      <c r="H97" s="419"/>
      <c r="I97" s="441">
        <f t="shared" si="4"/>
        <v>0</v>
      </c>
      <c r="J97" s="421"/>
      <c r="K97" s="418">
        <v>0</v>
      </c>
      <c r="L97" s="442"/>
      <c r="M97" s="420">
        <f t="shared" si="5"/>
        <v>0</v>
      </c>
      <c r="N97" s="421"/>
      <c r="O97" s="9"/>
    </row>
    <row r="98" spans="2:15">
      <c r="B98" s="5"/>
      <c r="C98" s="417">
        <v>2010</v>
      </c>
      <c r="D98" s="335"/>
      <c r="E98" s="335"/>
      <c r="F98" s="335"/>
      <c r="G98" s="418">
        <v>2281881.42</v>
      </c>
      <c r="H98" s="419"/>
      <c r="I98" s="441">
        <f t="shared" si="4"/>
        <v>1.6173091112878866E-3</v>
      </c>
      <c r="J98" s="421"/>
      <c r="K98" s="418">
        <v>2</v>
      </c>
      <c r="L98" s="442"/>
      <c r="M98" s="420">
        <f t="shared" si="5"/>
        <v>8.368200836820083E-3</v>
      </c>
      <c r="N98" s="421"/>
      <c r="O98" s="9"/>
    </row>
    <row r="99" spans="2:15">
      <c r="B99" s="5"/>
      <c r="C99" s="417">
        <v>2011</v>
      </c>
      <c r="D99" s="335"/>
      <c r="E99" s="335"/>
      <c r="F99" s="335"/>
      <c r="G99" s="418">
        <v>3729331.73</v>
      </c>
      <c r="H99" s="419"/>
      <c r="I99" s="441">
        <f t="shared" si="4"/>
        <v>2.643205791974947E-3</v>
      </c>
      <c r="J99" s="421"/>
      <c r="K99" s="418">
        <v>2</v>
      </c>
      <c r="L99" s="442"/>
      <c r="M99" s="420">
        <f t="shared" si="5"/>
        <v>8.368200836820083E-3</v>
      </c>
      <c r="N99" s="421"/>
      <c r="O99" s="9"/>
    </row>
    <row r="100" spans="2:15">
      <c r="B100" s="5"/>
      <c r="C100" s="417">
        <v>2012</v>
      </c>
      <c r="D100" s="335"/>
      <c r="E100" s="335"/>
      <c r="F100" s="335"/>
      <c r="G100" s="418">
        <v>6505863.040000001</v>
      </c>
      <c r="H100" s="419"/>
      <c r="I100" s="441">
        <f t="shared" si="4"/>
        <v>4.6111035740775304E-3</v>
      </c>
      <c r="J100" s="421"/>
      <c r="K100" s="418">
        <v>3</v>
      </c>
      <c r="L100" s="442"/>
      <c r="M100" s="420">
        <f t="shared" si="5"/>
        <v>1.2552301255230125E-2</v>
      </c>
      <c r="N100" s="421"/>
      <c r="O100" s="9"/>
    </row>
    <row r="101" spans="2:15">
      <c r="B101" s="5"/>
      <c r="C101" s="417">
        <v>2013</v>
      </c>
      <c r="D101" s="335"/>
      <c r="E101" s="335"/>
      <c r="F101" s="335"/>
      <c r="G101" s="418">
        <v>16072444.699999999</v>
      </c>
      <c r="H101" s="419"/>
      <c r="I101" s="441">
        <f t="shared" si="4"/>
        <v>1.1391525881296979E-2</v>
      </c>
      <c r="J101" s="421"/>
      <c r="K101" s="418">
        <v>5</v>
      </c>
      <c r="L101" s="442"/>
      <c r="M101" s="420">
        <f t="shared" si="5"/>
        <v>2.0920502092050208E-2</v>
      </c>
      <c r="N101" s="421"/>
      <c r="O101" s="9"/>
    </row>
    <row r="102" spans="2:15">
      <c r="B102" s="5"/>
      <c r="C102" s="417">
        <v>2014</v>
      </c>
      <c r="D102" s="335"/>
      <c r="E102" s="335"/>
      <c r="F102" s="335"/>
      <c r="G102" s="418">
        <v>21188654.100000001</v>
      </c>
      <c r="H102" s="419"/>
      <c r="I102" s="441">
        <f t="shared" si="4"/>
        <v>1.5017696814349555E-2</v>
      </c>
      <c r="J102" s="421"/>
      <c r="K102" s="418">
        <v>1</v>
      </c>
      <c r="L102" s="442"/>
      <c r="M102" s="420">
        <f t="shared" si="5"/>
        <v>4.1841004184100415E-3</v>
      </c>
      <c r="N102" s="421"/>
      <c r="O102" s="9"/>
    </row>
    <row r="103" spans="2:15">
      <c r="B103" s="5"/>
      <c r="C103" s="417">
        <v>2015</v>
      </c>
      <c r="D103" s="335"/>
      <c r="E103" s="335"/>
      <c r="F103" s="335"/>
      <c r="G103" s="418">
        <v>5194525.5044999998</v>
      </c>
      <c r="H103" s="419"/>
      <c r="I103" s="441">
        <f t="shared" si="4"/>
        <v>3.6816783526135884E-3</v>
      </c>
      <c r="J103" s="421"/>
      <c r="K103" s="418">
        <v>6</v>
      </c>
      <c r="L103" s="442"/>
      <c r="M103" s="420">
        <f t="shared" si="5"/>
        <v>2.5104602510460251E-2</v>
      </c>
      <c r="N103" s="421"/>
      <c r="O103" s="9"/>
    </row>
    <row r="104" spans="2:15">
      <c r="B104" s="5"/>
      <c r="C104" s="417">
        <v>2016</v>
      </c>
      <c r="D104" s="335"/>
      <c r="E104" s="335"/>
      <c r="F104" s="335"/>
      <c r="G104" s="418">
        <v>19305455.23</v>
      </c>
      <c r="H104" s="419"/>
      <c r="I104" s="441">
        <f t="shared" si="4"/>
        <v>1.3682958442704434E-2</v>
      </c>
      <c r="J104" s="421"/>
      <c r="K104" s="418">
        <v>7</v>
      </c>
      <c r="L104" s="442"/>
      <c r="M104" s="420">
        <f t="shared" si="5"/>
        <v>2.9288702928870293E-2</v>
      </c>
      <c r="N104" s="421"/>
      <c r="O104" s="9"/>
    </row>
    <row r="105" spans="2:15">
      <c r="B105" s="5"/>
      <c r="C105" s="417">
        <v>2017</v>
      </c>
      <c r="D105" s="335"/>
      <c r="E105" s="335"/>
      <c r="F105" s="335"/>
      <c r="G105" s="418">
        <v>113053276.71250001</v>
      </c>
      <c r="H105" s="419"/>
      <c r="I105" s="441">
        <f t="shared" si="4"/>
        <v>8.0127780911629018E-2</v>
      </c>
      <c r="J105" s="421"/>
      <c r="K105" s="418">
        <v>17</v>
      </c>
      <c r="L105" s="442"/>
      <c r="M105" s="420">
        <f t="shared" si="5"/>
        <v>7.1129707112970716E-2</v>
      </c>
      <c r="N105" s="421"/>
      <c r="O105" s="9"/>
    </row>
    <row r="106" spans="2:15">
      <c r="B106" s="5"/>
      <c r="C106" s="417">
        <v>2018</v>
      </c>
      <c r="D106" s="335"/>
      <c r="E106" s="335"/>
      <c r="F106" s="335"/>
      <c r="G106" s="418">
        <v>129779854.5415</v>
      </c>
      <c r="H106" s="419"/>
      <c r="I106" s="441">
        <f t="shared" si="4"/>
        <v>9.1982931002428936E-2</v>
      </c>
      <c r="J106" s="421"/>
      <c r="K106" s="418">
        <v>20</v>
      </c>
      <c r="L106" s="442"/>
      <c r="M106" s="420">
        <f t="shared" si="5"/>
        <v>8.3682008368200833E-2</v>
      </c>
      <c r="N106" s="421"/>
      <c r="O106" s="9"/>
    </row>
    <row r="107" spans="2:15">
      <c r="B107" s="5"/>
      <c r="C107" s="417">
        <v>2019</v>
      </c>
      <c r="D107" s="335"/>
      <c r="E107" s="335"/>
      <c r="F107" s="335"/>
      <c r="G107" s="418">
        <v>230625456.92750001</v>
      </c>
      <c r="H107" s="419"/>
      <c r="I107" s="441">
        <f t="shared" si="4"/>
        <v>0.16345838548603364</v>
      </c>
      <c r="J107" s="421"/>
      <c r="K107" s="418">
        <v>41</v>
      </c>
      <c r="L107" s="442"/>
      <c r="M107" s="420">
        <f t="shared" si="5"/>
        <v>0.17154811715481172</v>
      </c>
      <c r="N107" s="421"/>
      <c r="O107" s="9"/>
    </row>
    <row r="108" spans="2:15">
      <c r="B108" s="5"/>
      <c r="C108" s="417">
        <v>2020</v>
      </c>
      <c r="D108" s="335"/>
      <c r="E108" s="335"/>
      <c r="F108" s="335"/>
      <c r="G108" s="418">
        <v>285884375.64549994</v>
      </c>
      <c r="H108" s="419"/>
      <c r="I108" s="441">
        <f t="shared" si="4"/>
        <v>0.2026237653954498</v>
      </c>
      <c r="J108" s="421"/>
      <c r="K108" s="418">
        <v>39</v>
      </c>
      <c r="L108" s="442"/>
      <c r="M108" s="420">
        <f t="shared" si="5"/>
        <v>0.16317991631799164</v>
      </c>
      <c r="N108" s="421"/>
      <c r="O108" s="9"/>
    </row>
    <row r="109" spans="2:15">
      <c r="B109" s="5"/>
      <c r="C109" s="417">
        <v>2021</v>
      </c>
      <c r="D109" s="335"/>
      <c r="E109" s="335"/>
      <c r="F109" s="335"/>
      <c r="G109" s="418">
        <v>140203571.19049999</v>
      </c>
      <c r="H109" s="419"/>
      <c r="I109" s="441">
        <f t="shared" si="4"/>
        <v>9.9370857369746879E-2</v>
      </c>
      <c r="J109" s="421"/>
      <c r="K109" s="418">
        <v>37</v>
      </c>
      <c r="L109" s="442"/>
      <c r="M109" s="420">
        <f t="shared" si="5"/>
        <v>0.15481171548117154</v>
      </c>
      <c r="N109" s="421"/>
      <c r="O109" s="9"/>
    </row>
    <row r="110" spans="2:15">
      <c r="B110" s="5"/>
      <c r="C110" s="417">
        <v>2022</v>
      </c>
      <c r="D110" s="335"/>
      <c r="E110" s="335"/>
      <c r="F110" s="335"/>
      <c r="G110" s="423">
        <v>437087672.31450003</v>
      </c>
      <c r="H110" s="424"/>
      <c r="I110" s="441">
        <f t="shared" si="4"/>
        <v>0.30979080186640684</v>
      </c>
      <c r="J110" s="421"/>
      <c r="K110" s="418">
        <v>59</v>
      </c>
      <c r="L110" s="442"/>
      <c r="M110" s="434">
        <f t="shared" si="5"/>
        <v>0.24686192468619247</v>
      </c>
      <c r="N110" s="435"/>
      <c r="O110" s="9"/>
    </row>
    <row r="111" spans="2:15">
      <c r="B111" s="5"/>
      <c r="C111" s="416" t="s">
        <v>334</v>
      </c>
      <c r="D111" s="367"/>
      <c r="E111" s="367"/>
      <c r="F111" s="367"/>
      <c r="G111" s="443">
        <f>SUM(G95:H110)</f>
        <v>1410912363.0565</v>
      </c>
      <c r="H111" s="444"/>
      <c r="I111" s="431">
        <f>SUM(I95:J110)</f>
        <v>1</v>
      </c>
      <c r="J111" s="430"/>
      <c r="K111" s="429">
        <f>SUM(K95:L110)</f>
        <v>239</v>
      </c>
      <c r="L111" s="430"/>
      <c r="M111" s="431">
        <f>SUM(M95:N110)</f>
        <v>1</v>
      </c>
      <c r="N111" s="430"/>
      <c r="O111" s="9"/>
    </row>
    <row r="112" spans="2:15">
      <c r="B112" s="5"/>
      <c r="C112" s="13"/>
      <c r="D112" s="13"/>
      <c r="E112" s="13"/>
      <c r="F112" s="13"/>
      <c r="G112" s="13"/>
      <c r="H112" s="13"/>
      <c r="I112" s="13"/>
      <c r="J112" s="13"/>
      <c r="K112" s="13"/>
      <c r="L112" s="13"/>
      <c r="M112" s="13"/>
      <c r="N112" s="13"/>
      <c r="O112" s="9"/>
    </row>
    <row r="113" spans="2:15">
      <c r="B113" s="5"/>
      <c r="C113" s="416" t="s">
        <v>342</v>
      </c>
      <c r="D113" s="367"/>
      <c r="E113" s="367"/>
      <c r="F113" s="367"/>
      <c r="G113" s="275" t="s">
        <v>325</v>
      </c>
      <c r="H113" s="276"/>
      <c r="I113" s="275" t="s">
        <v>326</v>
      </c>
      <c r="J113" s="276"/>
      <c r="K113" s="275" t="s">
        <v>327</v>
      </c>
      <c r="L113" s="276"/>
      <c r="M113" s="277" t="s">
        <v>328</v>
      </c>
      <c r="N113" s="276"/>
      <c r="O113" s="9"/>
    </row>
    <row r="114" spans="2:15">
      <c r="B114" s="5"/>
      <c r="C114" s="417" t="s">
        <v>343</v>
      </c>
      <c r="D114" s="335"/>
      <c r="E114" s="335"/>
      <c r="F114" s="335"/>
      <c r="G114" s="445">
        <v>0</v>
      </c>
      <c r="H114" s="446"/>
      <c r="I114" s="441">
        <f>G114/$G$120</f>
        <v>0</v>
      </c>
      <c r="J114" s="421"/>
      <c r="K114" s="447">
        <v>0</v>
      </c>
      <c r="L114" s="448"/>
      <c r="M114" s="432">
        <f>K114/$K$120</f>
        <v>0</v>
      </c>
      <c r="N114" s="433"/>
      <c r="O114" s="9"/>
    </row>
    <row r="115" spans="2:15">
      <c r="B115" s="5"/>
      <c r="C115" s="417" t="s">
        <v>344</v>
      </c>
      <c r="D115" s="335"/>
      <c r="E115" s="335"/>
      <c r="F115" s="335"/>
      <c r="G115" s="418">
        <v>189115776.80999997</v>
      </c>
      <c r="H115" s="419"/>
      <c r="I115" s="441">
        <f t="shared" ref="I115:I119" si="6">G115/$G$120</f>
        <v>0.13403793301542349</v>
      </c>
      <c r="J115" s="421"/>
      <c r="K115" s="418">
        <v>15</v>
      </c>
      <c r="L115" s="419"/>
      <c r="M115" s="420">
        <f t="shared" ref="M115:M119" si="7">K115/$K$120</f>
        <v>6.2761506276150625E-2</v>
      </c>
      <c r="N115" s="421"/>
      <c r="O115" s="9"/>
    </row>
    <row r="116" spans="2:15">
      <c r="B116" s="5"/>
      <c r="C116" s="417" t="s">
        <v>345</v>
      </c>
      <c r="D116" s="335"/>
      <c r="E116" s="335"/>
      <c r="F116" s="335"/>
      <c r="G116" s="418">
        <v>837022925.69750082</v>
      </c>
      <c r="H116" s="419"/>
      <c r="I116" s="441">
        <f t="shared" si="6"/>
        <v>0.59324940911583923</v>
      </c>
      <c r="J116" s="421"/>
      <c r="K116" s="447">
        <v>148</v>
      </c>
      <c r="L116" s="448"/>
      <c r="M116" s="420">
        <f t="shared" si="7"/>
        <v>0.61924686192468614</v>
      </c>
      <c r="N116" s="421"/>
      <c r="O116" s="9"/>
    </row>
    <row r="117" spans="2:15">
      <c r="B117" s="5"/>
      <c r="C117" s="417" t="s">
        <v>346</v>
      </c>
      <c r="D117" s="335"/>
      <c r="E117" s="335"/>
      <c r="F117" s="335"/>
      <c r="G117" s="418">
        <v>335968044.59849918</v>
      </c>
      <c r="H117" s="419"/>
      <c r="I117" s="441">
        <f t="shared" si="6"/>
        <v>0.23812112884933689</v>
      </c>
      <c r="J117" s="421"/>
      <c r="K117" s="447">
        <v>64</v>
      </c>
      <c r="L117" s="448"/>
      <c r="M117" s="420">
        <f t="shared" si="7"/>
        <v>0.26778242677824265</v>
      </c>
      <c r="N117" s="421"/>
      <c r="O117" s="9"/>
    </row>
    <row r="118" spans="2:15">
      <c r="B118" s="5"/>
      <c r="C118" s="417" t="s">
        <v>347</v>
      </c>
      <c r="D118" s="335"/>
      <c r="E118" s="335"/>
      <c r="F118" s="335"/>
      <c r="G118" s="418">
        <v>48805615.950499773</v>
      </c>
      <c r="H118" s="419"/>
      <c r="I118" s="441">
        <f t="shared" si="6"/>
        <v>3.4591529019400449E-2</v>
      </c>
      <c r="J118" s="421"/>
      <c r="K118" s="447">
        <v>12</v>
      </c>
      <c r="L118" s="448"/>
      <c r="M118" s="420">
        <f t="shared" si="7"/>
        <v>5.0209205020920501E-2</v>
      </c>
      <c r="N118" s="421"/>
      <c r="O118" s="9"/>
    </row>
    <row r="119" spans="2:15">
      <c r="B119" s="5"/>
      <c r="C119" s="417" t="s">
        <v>348</v>
      </c>
      <c r="D119" s="335"/>
      <c r="E119" s="335"/>
      <c r="F119" s="335"/>
      <c r="G119" s="418">
        <v>0</v>
      </c>
      <c r="H119" s="419"/>
      <c r="I119" s="449">
        <f t="shared" si="6"/>
        <v>0</v>
      </c>
      <c r="J119" s="435"/>
      <c r="K119" s="447">
        <v>0</v>
      </c>
      <c r="L119" s="448"/>
      <c r="M119" s="434">
        <f t="shared" si="7"/>
        <v>0</v>
      </c>
      <c r="N119" s="435"/>
      <c r="O119" s="9"/>
    </row>
    <row r="120" spans="2:15">
      <c r="B120" s="5"/>
      <c r="C120" s="416" t="s">
        <v>334</v>
      </c>
      <c r="D120" s="367"/>
      <c r="E120" s="367"/>
      <c r="F120" s="367"/>
      <c r="G120" s="437">
        <f>SUM(G114:H119)</f>
        <v>1410912363.0564997</v>
      </c>
      <c r="H120" s="438"/>
      <c r="I120" s="431">
        <f>SUM(I114:J119)</f>
        <v>1</v>
      </c>
      <c r="J120" s="430"/>
      <c r="K120" s="450">
        <f>SUM(K114:L119)</f>
        <v>239</v>
      </c>
      <c r="L120" s="451"/>
      <c r="M120" s="452">
        <f>SUM(M114:N119)</f>
        <v>0.99999999999999989</v>
      </c>
      <c r="N120" s="453"/>
      <c r="O120" s="9"/>
    </row>
    <row r="121" spans="2:15" ht="15.75" thickBot="1">
      <c r="B121" s="314"/>
      <c r="C121" s="315"/>
      <c r="D121" s="315"/>
      <c r="E121" s="315"/>
      <c r="F121" s="315"/>
      <c r="G121" s="315"/>
      <c r="H121" s="315"/>
      <c r="I121" s="315"/>
      <c r="J121" s="315"/>
      <c r="K121" s="315"/>
      <c r="L121" s="315"/>
      <c r="M121" s="315"/>
      <c r="N121" s="315"/>
      <c r="O121" s="150"/>
    </row>
    <row r="183" spans="11:11">
      <c r="K183" s="1">
        <v>2457389.4</v>
      </c>
    </row>
  </sheetData>
  <mergeCells count="263">
    <mergeCell ref="G120:H120"/>
    <mergeCell ref="I120:J120"/>
    <mergeCell ref="K120:L120"/>
    <mergeCell ref="M120:N120"/>
    <mergeCell ref="G118:H118"/>
    <mergeCell ref="I118:J118"/>
    <mergeCell ref="K118:L118"/>
    <mergeCell ref="M118:N118"/>
    <mergeCell ref="G119:H119"/>
    <mergeCell ref="I119:J119"/>
    <mergeCell ref="K119:L119"/>
    <mergeCell ref="M119:N119"/>
    <mergeCell ref="G116:H116"/>
    <mergeCell ref="I116:J116"/>
    <mergeCell ref="K116:L116"/>
    <mergeCell ref="M116:N116"/>
    <mergeCell ref="G117:H117"/>
    <mergeCell ref="I117:J117"/>
    <mergeCell ref="K117:L117"/>
    <mergeCell ref="M117:N117"/>
    <mergeCell ref="G114:H114"/>
    <mergeCell ref="I114:J114"/>
    <mergeCell ref="K114:L114"/>
    <mergeCell ref="M114:N114"/>
    <mergeCell ref="G115:H115"/>
    <mergeCell ref="I115:J115"/>
    <mergeCell ref="K115:L115"/>
    <mergeCell ref="M115:N115"/>
    <mergeCell ref="G111:H111"/>
    <mergeCell ref="I111:J111"/>
    <mergeCell ref="K111:L111"/>
    <mergeCell ref="M111:N111"/>
    <mergeCell ref="G113:H113"/>
    <mergeCell ref="I113:J113"/>
    <mergeCell ref="K113:L113"/>
    <mergeCell ref="M113:N113"/>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95:H95"/>
    <mergeCell ref="I95:J95"/>
    <mergeCell ref="K95:L95"/>
    <mergeCell ref="M95:N95"/>
    <mergeCell ref="G96:H96"/>
    <mergeCell ref="I96:J96"/>
    <mergeCell ref="K96:L96"/>
    <mergeCell ref="M96:N96"/>
    <mergeCell ref="G92:H92"/>
    <mergeCell ref="I92:J92"/>
    <mergeCell ref="K92:L92"/>
    <mergeCell ref="M92:N92"/>
    <mergeCell ref="G94:H94"/>
    <mergeCell ref="I94:J94"/>
    <mergeCell ref="K94:L94"/>
    <mergeCell ref="M94:N94"/>
    <mergeCell ref="G90:H90"/>
    <mergeCell ref="I90:J90"/>
    <mergeCell ref="K90:L90"/>
    <mergeCell ref="M90:N90"/>
    <mergeCell ref="G91:H91"/>
    <mergeCell ref="I91:J91"/>
    <mergeCell ref="K91:L91"/>
    <mergeCell ref="M91:N91"/>
    <mergeCell ref="G88:H88"/>
    <mergeCell ref="I88:J88"/>
    <mergeCell ref="K88:L88"/>
    <mergeCell ref="M88:N88"/>
    <mergeCell ref="G89:H89"/>
    <mergeCell ref="I89:J89"/>
    <mergeCell ref="K89:L89"/>
    <mergeCell ref="M89:N89"/>
    <mergeCell ref="G86:H86"/>
    <mergeCell ref="I86:J86"/>
    <mergeCell ref="K86:L86"/>
    <mergeCell ref="M86:N86"/>
    <mergeCell ref="G87:H87"/>
    <mergeCell ref="I87:J87"/>
    <mergeCell ref="K87:L87"/>
    <mergeCell ref="M87:N87"/>
    <mergeCell ref="G83:H83"/>
    <mergeCell ref="I83:J83"/>
    <mergeCell ref="K83:L83"/>
    <mergeCell ref="M83:N83"/>
    <mergeCell ref="G84:H84"/>
    <mergeCell ref="I84:J84"/>
    <mergeCell ref="K84:L84"/>
    <mergeCell ref="M84:N84"/>
    <mergeCell ref="G81:H81"/>
    <mergeCell ref="I81:J81"/>
    <mergeCell ref="K81:L81"/>
    <mergeCell ref="M81:N81"/>
    <mergeCell ref="G82:H82"/>
    <mergeCell ref="I82:J82"/>
    <mergeCell ref="K82:L82"/>
    <mergeCell ref="M82:N82"/>
    <mergeCell ref="G79:H79"/>
    <mergeCell ref="I79:J79"/>
    <mergeCell ref="K79:L79"/>
    <mergeCell ref="M79:N79"/>
    <mergeCell ref="G80:H80"/>
    <mergeCell ref="I80:J80"/>
    <mergeCell ref="K80:L80"/>
    <mergeCell ref="M80:N80"/>
    <mergeCell ref="F75:H75"/>
    <mergeCell ref="I75:K75"/>
    <mergeCell ref="L75:N75"/>
    <mergeCell ref="C77:N77"/>
    <mergeCell ref="G78:H78"/>
    <mergeCell ref="I78:J78"/>
    <mergeCell ref="K78:L78"/>
    <mergeCell ref="M78:N78"/>
    <mergeCell ref="F73:H73"/>
    <mergeCell ref="I73:K73"/>
    <mergeCell ref="L73:N73"/>
    <mergeCell ref="F74:H74"/>
    <mergeCell ref="I74:K74"/>
    <mergeCell ref="L74:N74"/>
    <mergeCell ref="F71:H71"/>
    <mergeCell ref="I71:K71"/>
    <mergeCell ref="L71:N71"/>
    <mergeCell ref="F72:H72"/>
    <mergeCell ref="I72:K72"/>
    <mergeCell ref="L72:N72"/>
    <mergeCell ref="F69:H69"/>
    <mergeCell ref="I69:K69"/>
    <mergeCell ref="L69:N69"/>
    <mergeCell ref="F70:H70"/>
    <mergeCell ref="I70:K70"/>
    <mergeCell ref="L70:N70"/>
    <mergeCell ref="F67:H67"/>
    <mergeCell ref="I67:K67"/>
    <mergeCell ref="L67:N67"/>
    <mergeCell ref="F68:H68"/>
    <mergeCell ref="I68:K68"/>
    <mergeCell ref="L68:N68"/>
    <mergeCell ref="I62:J62"/>
    <mergeCell ref="L62:M62"/>
    <mergeCell ref="I63:K63"/>
    <mergeCell ref="L63:N63"/>
    <mergeCell ref="C65:N65"/>
    <mergeCell ref="F66:H66"/>
    <mergeCell ref="I66:K66"/>
    <mergeCell ref="L66:N66"/>
    <mergeCell ref="I59:J59"/>
    <mergeCell ref="L59:M59"/>
    <mergeCell ref="I60:J60"/>
    <mergeCell ref="L60:M60"/>
    <mergeCell ref="I61:J61"/>
    <mergeCell ref="L61:M61"/>
    <mergeCell ref="I56:J56"/>
    <mergeCell ref="L56:M56"/>
    <mergeCell ref="I57:J57"/>
    <mergeCell ref="L57:M57"/>
    <mergeCell ref="I58:K58"/>
    <mergeCell ref="L58:N58"/>
    <mergeCell ref="I53:K53"/>
    <mergeCell ref="L53:N53"/>
    <mergeCell ref="I54:K54"/>
    <mergeCell ref="L54:N54"/>
    <mergeCell ref="I55:J55"/>
    <mergeCell ref="L55:M55"/>
    <mergeCell ref="J47:M47"/>
    <mergeCell ref="C48:N48"/>
    <mergeCell ref="J49:N49"/>
    <mergeCell ref="C51:N51"/>
    <mergeCell ref="I52:K52"/>
    <mergeCell ref="L52:N52"/>
    <mergeCell ref="J41:M41"/>
    <mergeCell ref="J42:N42"/>
    <mergeCell ref="J43:N43"/>
    <mergeCell ref="J44:N44"/>
    <mergeCell ref="J45:N45"/>
    <mergeCell ref="J46:M46"/>
    <mergeCell ref="J35:M35"/>
    <mergeCell ref="J36:M36"/>
    <mergeCell ref="C37:N37"/>
    <mergeCell ref="J38:N38"/>
    <mergeCell ref="J39:M39"/>
    <mergeCell ref="J40:M40"/>
    <mergeCell ref="J29:N29"/>
    <mergeCell ref="J30:M30"/>
    <mergeCell ref="J31:M31"/>
    <mergeCell ref="C32:N32"/>
    <mergeCell ref="J33:N33"/>
    <mergeCell ref="J34:M34"/>
    <mergeCell ref="C23:N23"/>
    <mergeCell ref="J24:N24"/>
    <mergeCell ref="C25:N25"/>
    <mergeCell ref="J26:N26"/>
    <mergeCell ref="J27:M27"/>
    <mergeCell ref="J28:M28"/>
    <mergeCell ref="C17:E18"/>
    <mergeCell ref="J17:N17"/>
    <mergeCell ref="J18:N18"/>
    <mergeCell ref="J19:N19"/>
    <mergeCell ref="J20:N20"/>
    <mergeCell ref="C22:N22"/>
    <mergeCell ref="J12:N12"/>
    <mergeCell ref="C13:E14"/>
    <mergeCell ref="J13:N13"/>
    <mergeCell ref="J14:N14"/>
    <mergeCell ref="J15:N15"/>
    <mergeCell ref="J16:N16"/>
    <mergeCell ref="C3:N4"/>
    <mergeCell ref="C6:N6"/>
    <mergeCell ref="J8:N8"/>
    <mergeCell ref="J9:N9"/>
    <mergeCell ref="C10:E11"/>
    <mergeCell ref="J10:N10"/>
    <mergeCell ref="J11:N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6" ma:contentTypeDescription="Create a new document." ma:contentTypeScope="" ma:versionID="0b1401607088dd2e4c43b6d7ad9cb31f">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3231b2d7a4438a535ae1dab591ecbea2"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3105ca-3395-4058-8284-88e334f7b956">
      <Terms xmlns="http://schemas.microsoft.com/office/infopath/2007/PartnerControls"/>
    </lcf76f155ced4ddcb4097134ff3c332f>
    <TaxCatchAll xmlns="18709e2e-4da8-42d3-bf03-d1d83e4744e5" xsi:nil="true"/>
  </documentManagement>
</p:properties>
</file>

<file path=customXml/itemProps1.xml><?xml version="1.0" encoding="utf-8"?>
<ds:datastoreItem xmlns:ds="http://schemas.openxmlformats.org/officeDocument/2006/customXml" ds:itemID="{7A6F182A-06F9-4CBD-BF28-DFDD6614BCD0}"/>
</file>

<file path=customXml/itemProps2.xml><?xml version="1.0" encoding="utf-8"?>
<ds:datastoreItem xmlns:ds="http://schemas.openxmlformats.org/officeDocument/2006/customXml" ds:itemID="{DCD668C7-07DC-4CDA-A48C-814BAFBBAE74}"/>
</file>

<file path=customXml/itemProps3.xml><?xml version="1.0" encoding="utf-8"?>
<ds:datastoreItem xmlns:ds="http://schemas.openxmlformats.org/officeDocument/2006/customXml" ds:itemID="{57A43EF1-48AC-4D1E-AF43-21646198938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Admin Report</vt:lpstr>
      <vt:lpstr>Servicer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Tebogo Moseamedi</dc:creator>
  <cp:lastModifiedBy>Tebogo Moseamedi</cp:lastModifiedBy>
  <dcterms:created xsi:type="dcterms:W3CDTF">2023-02-15T19:38:38Z</dcterms:created>
  <dcterms:modified xsi:type="dcterms:W3CDTF">2023-02-15T19:40:39Z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0x0101006ECBF554220BF2499ADD23B390874F60</vt:lpwstr>
  </property>
</Properties>
</file>