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tuhfltd.sharepoint.com/sites/Finance2/Shared Documents/Finance Reports/Reports for 2024/Urban Ubomi 1/Investor Reports/4. Feb 2024/Workings/"/>
    </mc:Choice>
  </mc:AlternateContent>
  <xr:revisionPtr revIDLastSave="1" documentId="8_{FA5C8B27-A577-4032-809C-40777251BD73}" xr6:coauthVersionLast="47" xr6:coauthVersionMax="47" xr10:uidLastSave="{78717570-C685-4C63-9AD8-07C3958C0EF7}"/>
  <bookViews>
    <workbookView xWindow="28665" yWindow="-135" windowWidth="29070" windowHeight="15750" activeTab="1" xr2:uid="{199477E6-36EC-45B0-A73D-4EC3A4A596F5}"/>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2" l="1"/>
  <c r="L58" i="2"/>
  <c r="I58" i="2"/>
  <c r="I54" i="2"/>
  <c r="L54" i="2"/>
  <c r="J45" i="2"/>
  <c r="T68" i="1"/>
  <c r="J38" i="2"/>
  <c r="J33" i="2"/>
  <c r="S106" i="1"/>
  <c r="S88" i="1"/>
  <c r="J11" i="2"/>
  <c r="J12" i="2" s="1"/>
  <c r="J8" i="2"/>
  <c r="Q219" i="1"/>
  <c r="T211" i="1"/>
  <c r="Q211" i="1"/>
  <c r="Q210" i="1" s="1"/>
  <c r="T210" i="1" s="1"/>
  <c r="T209" i="1"/>
  <c r="O209" i="1"/>
  <c r="L209" i="1"/>
  <c r="O207" i="1"/>
  <c r="Q201" i="1"/>
  <c r="Q204" i="1" s="1"/>
  <c r="S98" i="1" s="1"/>
  <c r="Q195" i="1"/>
  <c r="T186" i="1"/>
  <c r="T185" i="1"/>
  <c r="T184" i="1"/>
  <c r="T183" i="1"/>
  <c r="T180" i="1"/>
  <c r="T179" i="1"/>
  <c r="T178" i="1"/>
  <c r="T177" i="1"/>
  <c r="T176" i="1" s="1"/>
  <c r="L176" i="1"/>
  <c r="T175" i="1"/>
  <c r="T174" i="1"/>
  <c r="T173" i="1"/>
  <c r="T172" i="1"/>
  <c r="T171" i="1"/>
  <c r="L171" i="1"/>
  <c r="T170" i="1"/>
  <c r="T168" i="1"/>
  <c r="T167" i="1"/>
  <c r="T166" i="1"/>
  <c r="T165" i="1"/>
  <c r="T160" i="1"/>
  <c r="T159" i="1"/>
  <c r="T158" i="1"/>
  <c r="T155" i="1"/>
  <c r="L155" i="1"/>
  <c r="T151" i="1"/>
  <c r="T150" i="1"/>
  <c r="T149" i="1"/>
  <c r="T148" i="1"/>
  <c r="T145" i="1"/>
  <c r="T144" i="1"/>
  <c r="T143" i="1"/>
  <c r="T142" i="1"/>
  <c r="S104" i="1"/>
  <c r="S90" i="1"/>
  <c r="S79" i="1"/>
  <c r="T78" i="1"/>
  <c r="S77" i="1"/>
  <c r="S76" i="1"/>
  <c r="T75" i="1" s="1"/>
  <c r="T72" i="1"/>
  <c r="T69" i="1"/>
  <c r="T67" i="1"/>
  <c r="S63" i="1"/>
  <c r="S60" i="1"/>
  <c r="S56" i="1"/>
  <c r="O49" i="1"/>
  <c r="N49" i="1"/>
  <c r="M49" i="1"/>
  <c r="L49" i="1"/>
  <c r="J49" i="1"/>
  <c r="I49" i="1"/>
  <c r="K49" i="1"/>
  <c r="H49" i="1"/>
  <c r="G49" i="1"/>
  <c r="O47" i="1"/>
  <c r="G47" i="1"/>
  <c r="H46" i="1"/>
  <c r="H47" i="1" s="1"/>
  <c r="V40" i="1"/>
  <c r="T40" i="1"/>
  <c r="R40" i="1"/>
  <c r="P40" i="1"/>
  <c r="N40" i="1"/>
  <c r="L40" i="1"/>
  <c r="O37" i="1"/>
  <c r="O38" i="1" s="1"/>
  <c r="T36" i="1"/>
  <c r="T37" i="1" s="1"/>
  <c r="K36" i="1"/>
  <c r="O40" i="1"/>
  <c r="M40" i="1"/>
  <c r="K40" i="1"/>
  <c r="I36" i="1"/>
  <c r="Q32" i="1"/>
  <c r="M32" i="1"/>
  <c r="V30" i="1"/>
  <c r="V36" i="1" s="1"/>
  <c r="T30" i="1"/>
  <c r="R30" i="1"/>
  <c r="R36" i="1" s="1"/>
  <c r="P30" i="1"/>
  <c r="P36" i="1" s="1"/>
  <c r="M30" i="1"/>
  <c r="K30" i="1"/>
  <c r="I30" i="1"/>
  <c r="G30" i="1"/>
  <c r="V29" i="1"/>
  <c r="U29" i="1"/>
  <c r="U30" i="1" s="1"/>
  <c r="T29" i="1"/>
  <c r="S29" i="1"/>
  <c r="S30" i="1" s="1"/>
  <c r="R29" i="1"/>
  <c r="Q29" i="1"/>
  <c r="Q30" i="1" s="1"/>
  <c r="P29" i="1"/>
  <c r="N29" i="1"/>
  <c r="N30" i="1" s="1"/>
  <c r="M29" i="1"/>
  <c r="L29" i="1"/>
  <c r="L30" i="1" s="1"/>
  <c r="K29" i="1"/>
  <c r="J29" i="1"/>
  <c r="J30" i="1" s="1"/>
  <c r="I29" i="1"/>
  <c r="H29" i="1"/>
  <c r="H30" i="1" s="1"/>
  <c r="G29" i="1"/>
  <c r="V28" i="1"/>
  <c r="S28" i="1"/>
  <c r="Q28" i="1"/>
  <c r="P28" i="1"/>
  <c r="O28" i="1"/>
  <c r="M28" i="1"/>
  <c r="L28" i="1"/>
  <c r="K28" i="1"/>
  <c r="I28" i="1"/>
  <c r="H28" i="1"/>
  <c r="G28" i="1"/>
  <c r="K18" i="1"/>
  <c r="K16" i="1"/>
  <c r="K11" i="1"/>
  <c r="K12" i="1" s="1"/>
  <c r="K10" i="1"/>
  <c r="K9" i="1"/>
  <c r="K8" i="1" s="1"/>
  <c r="I46" i="1" l="1"/>
  <c r="R37" i="1"/>
  <c r="R38" i="1" s="1"/>
  <c r="V38" i="1"/>
  <c r="V37" i="1"/>
  <c r="L156" i="1"/>
  <c r="T156" i="1" s="1"/>
  <c r="P37" i="1"/>
  <c r="P38" i="1"/>
  <c r="I37" i="1"/>
  <c r="I38" i="1" s="1"/>
  <c r="U32" i="1"/>
  <c r="N36" i="1"/>
  <c r="L161" i="1"/>
  <c r="T161" i="1" s="1"/>
  <c r="M98" i="2"/>
  <c r="M110" i="2"/>
  <c r="M117" i="2"/>
  <c r="S32" i="1"/>
  <c r="G32" i="1"/>
  <c r="T34" i="1"/>
  <c r="J34" i="1"/>
  <c r="P34" i="1"/>
  <c r="G34" i="1"/>
  <c r="G36" i="1"/>
  <c r="J26" i="2"/>
  <c r="S87" i="1"/>
  <c r="S86" i="1" s="1"/>
  <c r="S83" i="1" s="1"/>
  <c r="I107" i="2"/>
  <c r="I111" i="2"/>
  <c r="T32" i="1"/>
  <c r="I32" i="1"/>
  <c r="H36" i="1"/>
  <c r="Q215" i="1"/>
  <c r="M79" i="2"/>
  <c r="M88" i="2"/>
  <c r="M103" i="2"/>
  <c r="M107" i="2"/>
  <c r="L146" i="1"/>
  <c r="S66" i="1"/>
  <c r="S97" i="1" s="1"/>
  <c r="S103" i="1"/>
  <c r="S102" i="1" s="1"/>
  <c r="M80" i="2"/>
  <c r="I89" i="2"/>
  <c r="I119" i="2"/>
  <c r="M34" i="1"/>
  <c r="J36" i="1"/>
  <c r="M36" i="1"/>
  <c r="T38" i="1"/>
  <c r="L140" i="1"/>
  <c r="T141" i="1"/>
  <c r="T140" i="1" s="1"/>
  <c r="Q214" i="1"/>
  <c r="M81" i="2"/>
  <c r="M89" i="2"/>
  <c r="M104" i="2"/>
  <c r="M108" i="2"/>
  <c r="U36" i="1"/>
  <c r="U40" i="1"/>
  <c r="H32" i="1"/>
  <c r="K32" i="1"/>
  <c r="L34" i="1"/>
  <c r="Q40" i="1"/>
  <c r="Q36" i="1"/>
  <c r="L32" i="1"/>
  <c r="O32" i="1"/>
  <c r="S36" i="1"/>
  <c r="S40" i="1"/>
  <c r="M82" i="2"/>
  <c r="I97" i="2"/>
  <c r="I120" i="2"/>
  <c r="K37" i="1"/>
  <c r="K38" i="1" s="1"/>
  <c r="S55" i="1"/>
  <c r="S96" i="1"/>
  <c r="L36" i="1"/>
  <c r="S99" i="1"/>
  <c r="L169" i="1"/>
  <c r="T169" i="1" s="1"/>
  <c r="M83" i="2"/>
  <c r="M97" i="2"/>
  <c r="M101" i="2"/>
  <c r="M105" i="2"/>
  <c r="G92" i="2"/>
  <c r="G112" i="2"/>
  <c r="I99" i="2" s="1"/>
  <c r="N32" i="1"/>
  <c r="V32" i="1"/>
  <c r="J29" i="2"/>
  <c r="L63" i="2"/>
  <c r="L53" i="2" s="1"/>
  <c r="K112" i="2"/>
  <c r="M95" i="2" s="1"/>
  <c r="T139" i="1"/>
  <c r="T147" i="1"/>
  <c r="T146" i="1" s="1"/>
  <c r="K84" i="2"/>
  <c r="K92" i="2"/>
  <c r="M87" i="2" s="1"/>
  <c r="P32" i="1"/>
  <c r="L143" i="1"/>
  <c r="G121" i="2"/>
  <c r="I115" i="2" s="1"/>
  <c r="J32" i="1"/>
  <c r="R32" i="1"/>
  <c r="K121" i="2"/>
  <c r="M115" i="2" s="1"/>
  <c r="K17" i="1"/>
  <c r="J46" i="1" l="1"/>
  <c r="I47" i="1"/>
  <c r="L182" i="1"/>
  <c r="I103" i="2"/>
  <c r="R34" i="1"/>
  <c r="M106" i="2"/>
  <c r="M90" i="2"/>
  <c r="M92" i="2" s="1"/>
  <c r="S95" i="1"/>
  <c r="Q37" i="1"/>
  <c r="Q38" i="1" s="1"/>
  <c r="M111" i="2"/>
  <c r="H37" i="1"/>
  <c r="H38" i="1" s="1"/>
  <c r="M102" i="2"/>
  <c r="N37" i="1"/>
  <c r="N38" i="1"/>
  <c r="L153" i="1"/>
  <c r="G38" i="1"/>
  <c r="G37" i="1"/>
  <c r="M118" i="2"/>
  <c r="M121" i="2" s="1"/>
  <c r="M116" i="2"/>
  <c r="M84" i="2"/>
  <c r="L37" i="1"/>
  <c r="L38" i="1"/>
  <c r="M119" i="2"/>
  <c r="I118" i="2"/>
  <c r="I116" i="2"/>
  <c r="I90" i="2"/>
  <c r="I88" i="2"/>
  <c r="Q34" i="1"/>
  <c r="K34" i="1"/>
  <c r="S34" i="1"/>
  <c r="I34" i="1"/>
  <c r="I110" i="2"/>
  <c r="I108" i="2"/>
  <c r="I106" i="2"/>
  <c r="I104" i="2"/>
  <c r="I102" i="2"/>
  <c r="I100" i="2"/>
  <c r="I98" i="2"/>
  <c r="I96" i="2"/>
  <c r="L157" i="1"/>
  <c r="T157" i="1" s="1"/>
  <c r="S38" i="1"/>
  <c r="S37" i="1"/>
  <c r="I95" i="2"/>
  <c r="I109" i="2"/>
  <c r="N34" i="1"/>
  <c r="M91" i="2"/>
  <c r="I117" i="2"/>
  <c r="I121" i="2" s="1"/>
  <c r="M120" i="2"/>
  <c r="I105" i="2"/>
  <c r="M100" i="2"/>
  <c r="M38" i="1"/>
  <c r="M37" i="1"/>
  <c r="M99" i="2"/>
  <c r="I91" i="2"/>
  <c r="V34" i="1"/>
  <c r="I87" i="2"/>
  <c r="U34" i="1"/>
  <c r="M109" i="2"/>
  <c r="L154" i="1"/>
  <c r="T154" i="1" s="1"/>
  <c r="I101" i="2"/>
  <c r="O34" i="1"/>
  <c r="M96" i="2"/>
  <c r="M112" i="2" s="1"/>
  <c r="J38" i="1"/>
  <c r="J37" i="1"/>
  <c r="L164" i="1"/>
  <c r="S111" i="1"/>
  <c r="H34" i="1"/>
  <c r="U37" i="1"/>
  <c r="U38" i="1" s="1"/>
  <c r="J47" i="1" l="1"/>
  <c r="K46" i="1"/>
  <c r="I92" i="2"/>
  <c r="L163" i="1"/>
  <c r="J39" i="1"/>
  <c r="J40" i="1" s="1"/>
  <c r="I39" i="1"/>
  <c r="I40" i="1" s="1"/>
  <c r="T164" i="1"/>
  <c r="G39" i="1"/>
  <c r="G40" i="1" s="1"/>
  <c r="H39" i="1"/>
  <c r="H40" i="1" s="1"/>
  <c r="I112" i="2"/>
  <c r="T153" i="1"/>
  <c r="T152" i="1" s="1"/>
  <c r="L152" i="1"/>
  <c r="T182" i="1"/>
  <c r="L181" i="1"/>
  <c r="P139" i="1"/>
  <c r="L46" i="1" l="1"/>
  <c r="K47" i="1"/>
  <c r="Q217" i="1"/>
  <c r="Q218" i="1" s="1"/>
  <c r="Q221" i="1" s="1"/>
  <c r="T181" i="1"/>
  <c r="H41" i="1"/>
  <c r="L187" i="1"/>
  <c r="I41" i="1"/>
  <c r="J41" i="1"/>
  <c r="G41" i="1"/>
  <c r="K19" i="1"/>
  <c r="R41" i="1"/>
  <c r="O41" i="1"/>
  <c r="V41" i="1"/>
  <c r="N41" i="1"/>
  <c r="L41" i="1"/>
  <c r="K41" i="1"/>
  <c r="P41" i="1"/>
  <c r="M41" i="1"/>
  <c r="T41" i="1"/>
  <c r="U41" i="1"/>
  <c r="S41" i="1"/>
  <c r="Q41" i="1"/>
  <c r="L162" i="1"/>
  <c r="T163" i="1"/>
  <c r="T162" i="1" s="1"/>
  <c r="P187" i="1"/>
  <c r="T187" i="1" s="1"/>
  <c r="P140" i="1"/>
  <c r="L47" i="1" l="1"/>
  <c r="M46" i="1"/>
  <c r="P141" i="1"/>
  <c r="P143" i="1"/>
  <c r="P142" i="1"/>
  <c r="Q43" i="1"/>
  <c r="I43" i="1"/>
  <c r="O43" i="1"/>
  <c r="G43" i="1"/>
  <c r="N43" i="1"/>
  <c r="V43" i="1"/>
  <c r="U43" i="1"/>
  <c r="M43" i="1"/>
  <c r="T43" i="1"/>
  <c r="S43" i="1"/>
  <c r="K43" i="1"/>
  <c r="P43" i="1"/>
  <c r="L43" i="1"/>
  <c r="H43" i="1"/>
  <c r="J43" i="1"/>
  <c r="R43" i="1"/>
  <c r="M47" i="1" l="1"/>
  <c r="N46" i="1"/>
  <c r="P145" i="1"/>
  <c r="P144" i="1"/>
  <c r="P146" i="1"/>
  <c r="N47" i="1" l="1"/>
  <c r="O46" i="1"/>
  <c r="P46" i="1" s="1"/>
  <c r="P149" i="1"/>
  <c r="P148" i="1"/>
  <c r="P150" i="1"/>
  <c r="P151" i="1" s="1"/>
  <c r="P152" i="1" s="1"/>
  <c r="P147" i="1"/>
  <c r="P47" i="1" l="1"/>
  <c r="Q46" i="1"/>
  <c r="P154" i="1"/>
  <c r="P156" i="1"/>
  <c r="P157" i="1" s="1"/>
  <c r="P153" i="1"/>
  <c r="P155" i="1"/>
  <c r="R46" i="1" l="1"/>
  <c r="Q47" i="1"/>
  <c r="P161" i="1"/>
  <c r="P162" i="1" s="1"/>
  <c r="P158" i="1"/>
  <c r="P159" i="1" s="1"/>
  <c r="R47" i="1" l="1"/>
  <c r="S46" i="1"/>
  <c r="P160" i="1"/>
  <c r="S112" i="1"/>
  <c r="S113" i="1" s="1"/>
  <c r="P169" i="1"/>
  <c r="P170" i="1" s="1"/>
  <c r="P171" i="1" s="1"/>
  <c r="P166" i="1"/>
  <c r="P165" i="1"/>
  <c r="P168" i="1"/>
  <c r="P167" i="1"/>
  <c r="P164" i="1"/>
  <c r="P163" i="1"/>
  <c r="S47" i="1" l="1"/>
  <c r="T46" i="1"/>
  <c r="P173" i="1"/>
  <c r="P172" i="1"/>
  <c r="P174" i="1"/>
  <c r="P175" i="1" s="1"/>
  <c r="P176" i="1" s="1"/>
  <c r="U46" i="1" l="1"/>
  <c r="T47" i="1"/>
  <c r="P178" i="1"/>
  <c r="P179" i="1" s="1"/>
  <c r="P180" i="1" s="1"/>
  <c r="P181" i="1" s="1"/>
  <c r="P177" i="1"/>
  <c r="U47" i="1" l="1"/>
  <c r="V46" i="1"/>
  <c r="V47" i="1" s="1"/>
  <c r="P185" i="1"/>
  <c r="P186" i="1" s="1"/>
  <c r="P184" i="1"/>
  <c r="P182" i="1"/>
  <c r="P183" i="1" s="1"/>
  <c r="G84" i="2" l="1"/>
  <c r="I79" i="2" s="1"/>
  <c r="I81" i="2" l="1"/>
  <c r="I82" i="2"/>
  <c r="I80" i="2"/>
  <c r="I84" i="2" s="1"/>
  <c r="I8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tc={72FF50C3-17D0-4907-88C3-77B370574BFA}</author>
    <author>tc={2413CD9F-C3B2-4179-96F8-B832A8CB890C}</author>
    <author>tc={0C7EEA8A-F979-44B2-85B6-D7A68C0AFC92}</author>
    <author>tc={116A85D8-DAE6-41EF-9BB4-C06B09D99FED}</author>
    <author>tc={254ED955-3705-4A15-BB1E-80771EBCABE3}</author>
    <author>tc={79A28BB5-49D8-4F47-B88F-7CF6EB209FA2}</author>
    <author>tc={B07A1D99-1501-4C20-9952-8774495CEE21}</author>
    <author>tc={FAC5E5D2-E724-467D-832A-8B86A0C3D979}</author>
    <author>tc={B5D4F76A-7FEB-460F-876E-2BA299B79AD2}</author>
    <author>tc={8C5B814A-C8D0-4A4E-864D-9FE528E40DB5}</author>
    <author>tc={D5812815-1A71-438A-97F8-C2CD948020A4}</author>
    <author>tc={70A7BF7D-7A49-4A94-B8CA-27438911B166}</author>
    <author>tc={96EBA43F-F811-4C9D-86A5-D3C3EF5C2AC8}</author>
    <author>tc={75AA3329-999D-45E2-B561-FB52FFCFF9C6}</author>
    <author>tc={54EE241B-F26F-44BA-825A-4B952163F736}</author>
    <author>tc={AA3FE785-ED00-4674-AE03-8212CE508C09}</author>
    <author>tc={7B34BB3E-F243-49DE-9F2D-E1F5AD13C805}</author>
    <author>tc={4A7E9101-E2C0-4B99-840E-7C49E480A321}</author>
    <author>tc={56547B5B-A0CE-404C-A1D6-29B128D8EAF7}</author>
    <author>tc={AC1D6D00-2255-4578-BE9E-9C81D9A2B9F2}</author>
    <author>tc={20665945-142C-4A00-9D7D-3BB18B687F86}</author>
    <author>tc={FC046F79-F572-4756-8DFF-E4815123D88C}</author>
    <author>tc={11645784-1225-46D0-9F8C-059145B800DB}</author>
    <author>tc={EDDAF214-D3A7-4A6F-A61F-C090462D6C86}</author>
    <author>tc={B4EA8898-45FA-4FA0-8871-236102AD1529}</author>
    <author>tc={9A279718-F267-4C37-B1D9-F6D55252A24C}</author>
    <author>tc={26BB1CD5-695D-4126-A724-354595D0C81C}</author>
    <author>tc={607DE545-97E6-4CE8-B73C-01FEB5A44AAF}</author>
    <author>tc={3FD8B9B2-7EC6-47FB-95A8-E01C672245DD}</author>
    <author>tc={AC6BC1ED-9A69-4FF0-8652-EE903EDD24C5}</author>
    <author>tc={52C65E7C-4033-4C40-8E96-ED26E6BF36EB}</author>
    <author>tc={185110A3-2BB2-4B45-9BE3-9CE3655D913D}</author>
    <author>tc={1B3F972A-C51A-4C02-B3E4-91C7E2C374D5}</author>
    <author>tc={E9A1F53F-504F-4207-AEF3-4A3B50B96491}</author>
    <author>tc={0011A3C8-0788-4A04-ACBC-DB7EA7B0544B}</author>
    <author>tc={A5E38B0C-C169-4013-A14C-091738084D90}</author>
    <author>tc={9CE39A51-58E1-4CB6-9EA6-4BA99330062B}</author>
    <author>tc={0728CC68-3D52-422A-8A4B-ACAD487AC1F5}</author>
    <author>tc={02D8BBB6-FC73-4E03-8CE4-41196A8B0386}</author>
    <author>tc={4A96C06F-5F08-4961-9BA9-F54574955F9A}</author>
  </authors>
  <commentList>
    <comment ref="C8" authorId="0" shapeId="0" xr:uid="{72FF50C3-17D0-4907-88C3-77B370574BFA}">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2413CD9F-C3B2-4179-96F8-B832A8CB890C}">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C7EEA8A-F979-44B2-85B6-D7A68C0AFC92}">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116A85D8-DAE6-41EF-9BB4-C06B09D99FED}">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254ED955-3705-4A15-BB1E-80771EBCABE3}">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79A28BB5-49D8-4F47-B88F-7CF6EB209FA2}">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B07A1D99-1501-4C20-9952-8774495CEE21}">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FAC5E5D2-E724-467D-832A-8B86A0C3D979}">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B5D4F76A-7FEB-460F-876E-2BA299B79AD2}">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8C5B814A-C8D0-4A4E-864D-9FE528E40DB5}">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D5812815-1A71-438A-97F8-C2CD948020A4}">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70A7BF7D-7A49-4A94-B8CA-27438911B166}">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96EBA43F-F811-4C9D-86A5-D3C3EF5C2AC8}">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75AA3329-999D-45E2-B561-FB52FFCFF9C6}">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54EE241B-F26F-44BA-825A-4B952163F736}">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AA3FE785-ED00-4674-AE03-8212CE508C09}">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7B34BB3E-F243-49DE-9F2D-E1F5AD13C805}">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4A7E9101-E2C0-4B99-840E-7C49E480A321}">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56547B5B-A0CE-404C-A1D6-29B128D8EAF7}">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AC1D6D00-2255-4578-BE9E-9C81D9A2B9F2}">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20665945-142C-4A00-9D7D-3BB18B687F86}">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FC046F79-F572-4756-8DFF-E4815123D88C}">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11645784-1225-46D0-9F8C-059145B800DB}">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EDDAF214-D3A7-4A6F-A61F-C090462D6C86}">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B4EA8898-45FA-4FA0-8871-236102AD1529}">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9A279718-F267-4C37-B1D9-F6D55252A24C}">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26BB1CD5-695D-4126-A724-354595D0C81C}">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607DE545-97E6-4CE8-B73C-01FEB5A44AAF}">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3FD8B9B2-7EC6-47FB-95A8-E01C672245DD}">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AC6BC1ED-9A69-4FF0-8652-EE903EDD24C5}">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52C65E7C-4033-4C40-8E96-ED26E6BF36EB}">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185110A3-2BB2-4B45-9BE3-9CE3655D913D}">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1B3F972A-C51A-4C02-B3E4-91C7E2C374D5}">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E9A1F53F-504F-4207-AEF3-4A3B50B96491}">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0011A3C8-0788-4A04-ACBC-DB7EA7B0544B}">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A5E38B0C-C169-4013-A14C-091738084D90}">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9CE39A51-58E1-4CB6-9EA6-4BA99330062B}">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0728CC68-3D52-422A-8A4B-ACAD487AC1F5}">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02D8BBB6-FC73-4E03-8CE4-41196A8B0386}">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4A96C06F-5F08-4961-9BA9-F54574955F9A}">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<sst xmlns="http://schemas.openxmlformats.org/spreadsheetml/2006/main" count="448" uniqueCount="363">
  <si>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</si>
  <si>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</si>
  <si>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</si>
  <si>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</si>
  <si>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</si>
  <si>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</si>
  <si>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</si>
  <si>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</si>
  <si>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</si>
  <si>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</si>
  <si>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</si>
  <si>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</si>
  <si>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</si>
  <si>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</si>
  <si>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</si>
  <si>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</si>
  <si>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</si>
  <si>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</si>
  <si>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</si>
  <si>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</si>
  <si>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</si>
  <si>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</si>
  <si>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</si>
  <si>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A10</t>
  </si>
  <si>
    <t>Class A2</t>
  </si>
  <si>
    <t>Class A5</t>
  </si>
  <si>
    <t>Class A8</t>
  </si>
  <si>
    <t>Class A11</t>
  </si>
  <si>
    <t>Class A9</t>
  </si>
  <si>
    <t>Class B</t>
  </si>
  <si>
    <t>Class C</t>
  </si>
  <si>
    <t>ISIN Code</t>
  </si>
  <si>
    <t>ZAG000175001</t>
  </si>
  <si>
    <t>ZAG000183567</t>
  </si>
  <si>
    <t>ZAG000191875</t>
  </si>
  <si>
    <t>ZAG000195637</t>
  </si>
  <si>
    <t>ZAG000175019</t>
  </si>
  <si>
    <t>ZAG000183542</t>
  </si>
  <si>
    <t>ZAG000192006</t>
  </si>
  <si>
    <t>ZAG000195645</t>
  </si>
  <si>
    <t>ZAG000192014</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</si>
  <si>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</si>
  <si>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</si>
  <si>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</si>
  <si>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</si>
  <si>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</si>
  <si>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</si>
  <si>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</si>
  <si>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</si>
  <si>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</si>
  <si>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</si>
  <si>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</si>
  <si>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</si>
  <si>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</si>
  <si>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</si>
  <si>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</si>
  <si>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UU1A11</t>
  </si>
  <si>
    <t>UU1A09</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</si>
  <si>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</si>
  <si>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</si>
  <si>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</si>
  <si>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</si>
  <si>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</si>
  <si>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</si>
  <si>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</si>
  <si>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</si>
  <si>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</si>
  <si>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</si>
  <si>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</si>
  <si>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</si>
  <si>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</si>
  <si>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</si>
  <si>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</si>
  <si>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</si>
  <si>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</si>
  <si>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</si>
  <si>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</si>
  <si>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</si>
  <si>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</si>
  <si>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</si>
  <si>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</si>
  <si>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</si>
  <si>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</si>
  <si>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</si>
  <si>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</si>
  <si>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</si>
  <si>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</si>
  <si>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</si>
  <si>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</si>
  <si>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</si>
  <si>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</si>
  <si>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</si>
  <si>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</si>
  <si>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</si>
  <si>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</si>
  <si>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</si>
  <si>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</si>
  <si>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</si>
  <si>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</si>
  <si>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</si>
  <si>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</si>
  <si>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</si>
  <si>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</si>
  <si>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</si>
  <si>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</si>
  <si>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</si>
  <si>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</si>
  <si>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</si>
  <si>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</si>
  <si>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</si>
  <si>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</si>
  <si>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</si>
  <si>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</si>
  <si>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</si>
  <si>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</si>
  <si>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</si>
  <si>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</si>
  <si>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</si>
  <si>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</si>
  <si>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</si>
  <si>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</si>
  <si>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</si>
  <si>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</si>
  <si>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</si>
  <si>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</si>
  <si>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</si>
  <si>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</si>
  <si>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</si>
  <si>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</si>
  <si>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</si>
  <si>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</si>
  <si>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</si>
  <si>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</si>
  <si>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</si>
  <si>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</si>
  <si>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</si>
  <si>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</si>
  <si>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</si>
  <si>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</si>
  <si>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</si>
  <si>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</si>
  <si>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</si>
  <si>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</si>
  <si>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</si>
  <si>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</si>
  <si>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</si>
  <si>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</si>
  <si>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</si>
  <si>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</si>
  <si>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</si>
  <si>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</si>
  <si>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</si>
  <si>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</si>
  <si>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</si>
  <si>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</si>
  <si>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</si>
  <si>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</si>
  <si>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</si>
  <si>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</si>
  <si>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</si>
  <si>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</si>
  <si>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</si>
  <si>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</si>
  <si>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</si>
  <si>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</si>
  <si>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</si>
  <si>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</si>
  <si>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</si>
  <si>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</si>
  <si>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</si>
  <si>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</si>
  <si>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</si>
  <si>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</si>
  <si>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</si>
  <si>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</si>
  <si>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</si>
  <si>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</si>
  <si>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</si>
  <si>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</si>
  <si>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</si>
  <si>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</si>
  <si>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</si>
  <si>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</si>
  <si>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</si>
  <si>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</si>
  <si>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</si>
  <si>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</si>
  <si>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</si>
  <si>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</si>
  <si>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</si>
  <si>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</si>
  <si>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</si>
  <si>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</si>
  <si>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</si>
  <si>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</si>
  <si>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</si>
  <si>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</si>
  <si>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</si>
  <si>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Class A4, Class A7 &amp; A10</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</si>
  <si>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</si>
  <si>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</si>
  <si>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</si>
  <si>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</si>
  <si>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</si>
  <si>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</si>
  <si>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</si>
  <si>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</si>
  <si>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</si>
  <si>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</si>
  <si>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Class A4, Class A7 &amp; Class A10</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</si>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</sst>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 #,##0_-;_-* &quot;-&quot;??_-;_-@_-"/>
    <numFmt numFmtId="166" formatCode="0.000%"/>
    <numFmt numFmtId="167" formatCode="_(* #,##0_);_(* \(#,##0\);_(* &quot;-&quot;??_);_(@_)"/>
    <numFmt numFmtId="168" formatCode="_-* #,##0.0_-;\-* #,##0.0_-;_-* &quot;-&quot;??_-;_-@_-"/>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i/>
      <sz val="11"/>
      <color rgb="FFFF0000"/>
      <name val="Aptos Narrow"/>
      <family val="2"/>
      <scheme val="minor"/>
    </font>
    <font>
      <b/>
      <u/>
      <sz val="11"/>
      <color theme="1"/>
      <name val="Aptos Narrow"/>
      <family val="2"/>
      <scheme val="minor"/>
    </font>
    <font>
      <sz val="11"/>
      <color rgb="FFC00000"/>
      <name val="Aptos Narrow"/>
      <family val="2"/>
      <scheme val="minor"/>
    </font>
    <font>
      <sz val="11"/>
      <color rgb="FF92D050"/>
      <name val="Aptos Narrow"/>
      <family val="2"/>
      <scheme val="minor"/>
    </font>
    <font>
      <sz val="11"/>
      <color rgb="FFFFFF00"/>
      <name val="Aptos Narrow"/>
      <family val="2"/>
      <scheme val="minor"/>
    </font>
    <font>
      <u/>
      <sz val="11"/>
      <color theme="1"/>
      <name val="Calibri (Body)"/>
    </font>
    <font>
      <b/>
      <i/>
      <sz val="11"/>
      <color theme="1"/>
      <name val="Aptos Narrow"/>
      <family val="2"/>
      <scheme val="minor"/>
    </font>
    <font>
      <b/>
      <i/>
      <sz val="11"/>
      <name val="Aptos Narrow"/>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0" fillId="2" borderId="0" xfId="0" applyFill="1"/>
    <xf numFmtId="43" fontId="0" fillId="2" borderId="0" xfId="1" applyFont="1"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43"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0" fontId="2" fillId="4" borderId="14" xfId="0" applyFont="1" applyFill="1" applyBorder="1"/>
    <xf numFmtId="0" fontId="2" fillId="4" borderId="18" xfId="0" applyFont="1" applyFill="1" applyBorder="1"/>
    <xf numFmtId="0" fontId="2" fillId="4" borderId="19" xfId="0" applyFont="1" applyFill="1" applyBorder="1"/>
    <xf numFmtId="0" fontId="2" fillId="4" borderId="20" xfId="0" applyFont="1" applyFill="1" applyBorder="1"/>
    <xf numFmtId="0" fontId="2" fillId="4" borderId="26" xfId="0" applyFont="1" applyFill="1" applyBorder="1" applyAlignment="1">
      <alignment horizontal="left" vertical="center"/>
    </xf>
    <xf numFmtId="0" fontId="2" fillId="4" borderId="23" xfId="0" applyFont="1" applyFill="1" applyBorder="1"/>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2" fillId="4" borderId="28" xfId="0" applyFont="1" applyFill="1" applyBorder="1"/>
    <xf numFmtId="0" fontId="2" fillId="4" borderId="0" xfId="0" applyFont="1" applyFill="1" applyAlignment="1">
      <alignment horizontal="left" vertical="center"/>
    </xf>
    <xf numFmtId="0" fontId="2" fillId="4" borderId="29" xfId="0" applyFont="1" applyFill="1" applyBorder="1" applyAlignment="1">
      <alignment horizontal="left" vertical="center"/>
    </xf>
    <xf numFmtId="0" fontId="2" fillId="4" borderId="29" xfId="0" applyFont="1" applyFill="1" applyBorder="1"/>
    <xf numFmtId="0" fontId="2" fillId="4" borderId="30" xfId="0" applyFont="1" applyFill="1" applyBorder="1"/>
    <xf numFmtId="0" fontId="2" fillId="4" borderId="31" xfId="0" applyFont="1" applyFill="1" applyBorder="1"/>
    <xf numFmtId="0" fontId="2" fillId="4" borderId="30" xfId="0" applyFont="1" applyFill="1" applyBorder="1" applyAlignment="1">
      <alignment horizontal="left" vertical="center"/>
    </xf>
    <xf numFmtId="165" fontId="0" fillId="2" borderId="0" xfId="0" applyNumberFormat="1" applyFill="1"/>
    <xf numFmtId="0" fontId="2" fillId="4" borderId="6" xfId="0" applyFont="1" applyFill="1" applyBorder="1"/>
    <xf numFmtId="0" fontId="2" fillId="4" borderId="7" xfId="0" applyFont="1" applyFill="1" applyBorder="1"/>
    <xf numFmtId="0" fontId="2" fillId="4" borderId="33" xfId="0" applyFont="1" applyFill="1" applyBorder="1"/>
    <xf numFmtId="0" fontId="0" fillId="4" borderId="29" xfId="0" applyFill="1" applyBorder="1"/>
    <xf numFmtId="0" fontId="2" fillId="4" borderId="22" xfId="0" applyFont="1" applyFill="1" applyBorder="1"/>
    <xf numFmtId="0" fontId="2" fillId="4" borderId="37" xfId="0" applyFont="1" applyFill="1" applyBorder="1"/>
    <xf numFmtId="0" fontId="2" fillId="4" borderId="4" xfId="0" applyFont="1" applyFill="1" applyBorder="1"/>
    <xf numFmtId="0" fontId="0" fillId="4" borderId="0" xfId="0" applyFill="1"/>
    <xf numFmtId="0" fontId="0" fillId="3" borderId="23" xfId="0" applyFill="1" applyBorder="1" applyAlignment="1">
      <alignment horizontal="center"/>
    </xf>
    <xf numFmtId="0" fontId="0" fillId="3" borderId="22" xfId="0" applyFill="1" applyBorder="1" applyAlignment="1">
      <alignment horizontal="center"/>
    </xf>
    <xf numFmtId="0" fontId="6" fillId="3" borderId="37" xfId="0" applyFont="1" applyFill="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6" fillId="3" borderId="23" xfId="0" applyFont="1" applyFill="1" applyBorder="1" applyAlignment="1">
      <alignment horizontal="center"/>
    </xf>
    <xf numFmtId="0" fontId="6" fillId="3" borderId="22" xfId="0" applyFont="1" applyFill="1" applyBorder="1" applyAlignment="1">
      <alignment horizontal="center"/>
    </xf>
    <xf numFmtId="10" fontId="5" fillId="3" borderId="23" xfId="0" applyNumberFormat="1" applyFont="1" applyFill="1" applyBorder="1"/>
    <xf numFmtId="10" fontId="5" fillId="3" borderId="23" xfId="2" applyNumberFormat="1" applyFont="1" applyFill="1" applyBorder="1" applyAlignment="1"/>
    <xf numFmtId="10" fontId="7" fillId="3" borderId="23" xfId="2" applyNumberFormat="1" applyFont="1" applyFill="1" applyBorder="1" applyAlignment="1"/>
    <xf numFmtId="10" fontId="7" fillId="3" borderId="23" xfId="2" applyNumberFormat="1" applyFont="1" applyFill="1" applyBorder="1" applyAlignment="1">
      <alignment horizontal="right"/>
    </xf>
    <xf numFmtId="10" fontId="7" fillId="3" borderId="22" xfId="2" applyNumberFormat="1" applyFont="1" applyFill="1" applyBorder="1" applyAlignment="1"/>
    <xf numFmtId="10" fontId="7" fillId="3" borderId="37" xfId="2" applyNumberFormat="1" applyFont="1" applyFill="1" applyBorder="1" applyAlignment="1"/>
    <xf numFmtId="10" fontId="5" fillId="0" borderId="23" xfId="0" applyNumberFormat="1" applyFont="1" applyBorder="1"/>
    <xf numFmtId="10" fontId="5" fillId="0" borderId="23" xfId="2" applyNumberFormat="1" applyFont="1" applyFill="1" applyBorder="1" applyAlignment="1"/>
    <xf numFmtId="10" fontId="7" fillId="0" borderId="23" xfId="2" applyNumberFormat="1" applyFont="1" applyFill="1" applyBorder="1" applyAlignment="1"/>
    <xf numFmtId="10" fontId="7" fillId="0" borderId="23" xfId="2" applyNumberFormat="1" applyFont="1" applyFill="1" applyBorder="1" applyAlignment="1">
      <alignment horizontal="right"/>
    </xf>
    <xf numFmtId="166" fontId="5" fillId="3" borderId="23" xfId="0" applyNumberFormat="1" applyFont="1" applyFill="1" applyBorder="1"/>
    <xf numFmtId="166" fontId="5" fillId="3" borderId="23" xfId="2" applyNumberFormat="1" applyFont="1" applyFill="1" applyBorder="1" applyAlignment="1"/>
    <xf numFmtId="166" fontId="7" fillId="3" borderId="23" xfId="2" applyNumberFormat="1" applyFont="1" applyFill="1" applyBorder="1" applyAlignment="1"/>
    <xf numFmtId="166" fontId="7" fillId="3" borderId="23" xfId="2" applyNumberFormat="1" applyFont="1" applyFill="1" applyBorder="1" applyAlignment="1">
      <alignment horizontal="right"/>
    </xf>
    <xf numFmtId="166" fontId="7" fillId="3" borderId="22" xfId="2" applyNumberFormat="1" applyFont="1" applyFill="1" applyBorder="1" applyAlignment="1"/>
    <xf numFmtId="166" fontId="7" fillId="3" borderId="37" xfId="2" applyNumberFormat="1" applyFont="1" applyFill="1" applyBorder="1" applyAlignment="1"/>
    <xf numFmtId="165" fontId="5" fillId="3" borderId="23" xfId="1" applyNumberFormat="1" applyFont="1" applyFill="1" applyBorder="1" applyAlignment="1"/>
    <xf numFmtId="165" fontId="7" fillId="3" borderId="23" xfId="1" applyNumberFormat="1" applyFont="1" applyFill="1" applyBorder="1" applyAlignment="1"/>
    <xf numFmtId="165" fontId="7" fillId="3" borderId="22" xfId="1" applyNumberFormat="1" applyFont="1" applyFill="1" applyBorder="1" applyAlignment="1"/>
    <xf numFmtId="165" fontId="7" fillId="3" borderId="37" xfId="1" applyNumberFormat="1" applyFont="1" applyFill="1" applyBorder="1" applyAlignment="1"/>
    <xf numFmtId="10" fontId="5" fillId="3" borderId="22" xfId="0" applyNumberFormat="1" applyFont="1" applyFill="1" applyBorder="1"/>
    <xf numFmtId="0" fontId="0" fillId="4" borderId="30" xfId="0" applyFill="1" applyBorder="1" applyAlignment="1">
      <alignment horizontal="left" indent="1"/>
    </xf>
    <xf numFmtId="165" fontId="5" fillId="0" borderId="23" xfId="1" applyNumberFormat="1" applyFont="1" applyFill="1" applyBorder="1" applyAlignment="1"/>
    <xf numFmtId="165" fontId="7" fillId="0" borderId="23" xfId="1" applyNumberFormat="1" applyFont="1" applyFill="1" applyBorder="1" applyAlignment="1"/>
    <xf numFmtId="165" fontId="7" fillId="0" borderId="22" xfId="1" applyNumberFormat="1" applyFont="1" applyFill="1" applyBorder="1" applyAlignment="1"/>
    <xf numFmtId="165" fontId="7" fillId="0" borderId="37" xfId="1" applyNumberFormat="1" applyFont="1" applyFill="1" applyBorder="1" applyAlignment="1"/>
    <xf numFmtId="15" fontId="0" fillId="2" borderId="0" xfId="0" applyNumberFormat="1" applyFill="1"/>
    <xf numFmtId="0" fontId="0" fillId="4" borderId="4" xfId="0" applyFill="1" applyBorder="1" applyAlignment="1">
      <alignment horizontal="left" indent="1"/>
    </xf>
    <xf numFmtId="15" fontId="7" fillId="3" borderId="23" xfId="0" applyNumberFormat="1" applyFont="1" applyFill="1" applyBorder="1"/>
    <xf numFmtId="15" fontId="7" fillId="3" borderId="22" xfId="0" applyNumberFormat="1" applyFont="1" applyFill="1" applyBorder="1"/>
    <xf numFmtId="15" fontId="7" fillId="3" borderId="37" xfId="0" applyNumberFormat="1" applyFont="1" applyFill="1" applyBorder="1"/>
    <xf numFmtId="0" fontId="5" fillId="3" borderId="23" xfId="0" applyFont="1" applyFill="1" applyBorder="1" applyAlignment="1">
      <alignment horizontal="center"/>
    </xf>
    <xf numFmtId="0" fontId="5" fillId="3" borderId="22" xfId="0" applyFont="1" applyFill="1" applyBorder="1" applyAlignment="1">
      <alignment horizontal="center"/>
    </xf>
    <xf numFmtId="0" fontId="5" fillId="3" borderId="37" xfId="0" applyFont="1" applyFill="1" applyBorder="1" applyAlignment="1">
      <alignment horizontal="center"/>
    </xf>
    <xf numFmtId="0" fontId="2" fillId="4" borderId="38" xfId="0" applyFont="1" applyFill="1" applyBorder="1"/>
    <xf numFmtId="0" fontId="0" fillId="4" borderId="39" xfId="0" applyFill="1" applyBorder="1"/>
    <xf numFmtId="0" fontId="5" fillId="3" borderId="35" xfId="0" applyFont="1" applyFill="1" applyBorder="1" applyAlignment="1">
      <alignment horizontal="center"/>
    </xf>
    <xf numFmtId="0" fontId="5" fillId="3" borderId="34" xfId="0" applyFont="1" applyFill="1" applyBorder="1" applyAlignment="1">
      <alignment horizontal="center"/>
    </xf>
    <xf numFmtId="0" fontId="5" fillId="3" borderId="40" xfId="0" applyFont="1" applyFill="1" applyBorder="1" applyAlignment="1">
      <alignment horizontal="center"/>
    </xf>
    <xf numFmtId="4" fontId="0" fillId="2" borderId="0" xfId="0" applyNumberFormat="1" applyFill="1"/>
    <xf numFmtId="0" fontId="2" fillId="4" borderId="25" xfId="0" applyFont="1" applyFill="1" applyBorder="1"/>
    <xf numFmtId="0" fontId="0" fillId="4" borderId="26" xfId="0" applyFill="1" applyBorder="1"/>
    <xf numFmtId="164" fontId="0" fillId="2" borderId="0" xfId="0" applyNumberFormat="1" applyFill="1"/>
    <xf numFmtId="3" fontId="0" fillId="2" borderId="0" xfId="0" applyNumberFormat="1" applyFill="1"/>
    <xf numFmtId="165" fontId="10" fillId="2" borderId="0" xfId="0" applyNumberFormat="1" applyFont="1" applyFill="1"/>
    <xf numFmtId="165" fontId="5" fillId="3" borderId="0" xfId="1" applyNumberFormat="1" applyFont="1" applyFill="1" applyBorder="1" applyAlignment="1">
      <alignment horizontal="center"/>
    </xf>
    <xf numFmtId="165" fontId="5" fillId="3" borderId="5" xfId="1" applyNumberFormat="1" applyFont="1" applyFill="1" applyBorder="1" applyAlignment="1">
      <alignment horizontal="center"/>
    </xf>
    <xf numFmtId="43" fontId="11" fillId="2" borderId="0" xfId="1" applyFont="1" applyFill="1"/>
    <xf numFmtId="165" fontId="5" fillId="3" borderId="43" xfId="1" applyNumberFormat="1" applyFont="1" applyFill="1" applyBorder="1" applyAlignment="1"/>
    <xf numFmtId="165" fontId="5" fillId="3" borderId="0" xfId="1" applyNumberFormat="1" applyFont="1" applyFill="1" applyBorder="1" applyAlignment="1">
      <alignment horizontal="right"/>
    </xf>
    <xf numFmtId="4" fontId="11" fillId="2" borderId="0" xfId="0" applyNumberFormat="1" applyFont="1" applyFill="1"/>
    <xf numFmtId="165" fontId="5" fillId="3" borderId="31" xfId="1" applyNumberFormat="1" applyFont="1" applyFill="1" applyBorder="1" applyAlignment="1"/>
    <xf numFmtId="165" fontId="5" fillId="0" borderId="0" xfId="1" applyNumberFormat="1" applyFont="1" applyFill="1" applyBorder="1" applyAlignment="1">
      <alignment horizontal="right"/>
    </xf>
    <xf numFmtId="165" fontId="0" fillId="2" borderId="0" xfId="1" applyNumberFormat="1" applyFont="1" applyFill="1"/>
    <xf numFmtId="43" fontId="12" fillId="2" borderId="0" xfId="1" applyFont="1" applyFill="1"/>
    <xf numFmtId="164" fontId="12" fillId="2" borderId="0" xfId="0" applyNumberFormat="1" applyFont="1" applyFill="1"/>
    <xf numFmtId="0" fontId="6" fillId="2" borderId="0" xfId="0" applyFont="1" applyFill="1"/>
    <xf numFmtId="165" fontId="1" fillId="3" borderId="5" xfId="1" applyNumberFormat="1" applyFont="1" applyFill="1" applyBorder="1" applyAlignment="1"/>
    <xf numFmtId="0" fontId="0" fillId="4" borderId="27" xfId="0" applyFill="1" applyBorder="1"/>
    <xf numFmtId="165" fontId="5" fillId="3" borderId="19" xfId="1" applyNumberFormat="1" applyFont="1" applyFill="1" applyBorder="1" applyAlignment="1"/>
    <xf numFmtId="0" fontId="0" fillId="4" borderId="20" xfId="0" applyFill="1" applyBorder="1"/>
    <xf numFmtId="0" fontId="0" fillId="4" borderId="18" xfId="0" applyFill="1" applyBorder="1" applyAlignment="1">
      <alignment horizontal="left" indent="1"/>
    </xf>
    <xf numFmtId="0" fontId="0" fillId="4" borderId="19" xfId="0" applyFill="1" applyBorder="1"/>
    <xf numFmtId="165" fontId="0" fillId="3" borderId="5" xfId="1" applyNumberFormat="1" applyFont="1" applyFill="1" applyBorder="1" applyAlignment="1"/>
    <xf numFmtId="0" fontId="0" fillId="4" borderId="4" xfId="0" applyFill="1" applyBorder="1" applyAlignment="1">
      <alignment horizontal="left" indent="2"/>
    </xf>
    <xf numFmtId="165" fontId="0" fillId="3" borderId="0" xfId="1" applyNumberFormat="1" applyFont="1" applyFill="1" applyBorder="1" applyAlignment="1">
      <alignment horizontal="right"/>
    </xf>
    <xf numFmtId="165" fontId="5" fillId="3" borderId="19" xfId="1" applyNumberFormat="1" applyFont="1" applyFill="1" applyBorder="1"/>
    <xf numFmtId="165" fontId="0" fillId="3" borderId="44" xfId="1" applyNumberFormat="1" applyFont="1" applyFill="1" applyBorder="1" applyAlignment="1"/>
    <xf numFmtId="0" fontId="2" fillId="4" borderId="25" xfId="0" applyFont="1" applyFill="1" applyBorder="1" applyAlignment="1">
      <alignment horizontal="left"/>
    </xf>
    <xf numFmtId="165" fontId="1" fillId="3" borderId="5" xfId="1" applyNumberFormat="1" applyFont="1" applyFill="1" applyBorder="1" applyAlignment="1">
      <alignment horizontal="right"/>
    </xf>
    <xf numFmtId="165" fontId="7" fillId="3" borderId="0" xfId="1" applyNumberFormat="1" applyFont="1" applyFill="1" applyBorder="1" applyAlignment="1">
      <alignment horizontal="center"/>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5" fillId="3" borderId="19" xfId="1" applyNumberFormat="1" applyFont="1" applyFill="1" applyBorder="1" applyAlignment="1">
      <alignment horizontal="center"/>
    </xf>
    <xf numFmtId="165" fontId="1" fillId="3" borderId="44" xfId="1" applyNumberFormat="1" applyFont="1" applyFill="1" applyBorder="1" applyAlignment="1">
      <alignment horizontal="right"/>
    </xf>
    <xf numFmtId="0" fontId="2" fillId="4" borderId="4" xfId="0" applyFont="1" applyFill="1" applyBorder="1" applyAlignment="1">
      <alignment horizontal="left"/>
    </xf>
    <xf numFmtId="0" fontId="0" fillId="4" borderId="6" xfId="0" applyFill="1" applyBorder="1" applyAlignment="1">
      <alignment horizontal="left" indent="1"/>
    </xf>
    <xf numFmtId="0" fontId="0" fillId="4" borderId="7" xfId="0" applyFill="1" applyBorder="1"/>
    <xf numFmtId="165"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9" fillId="4" borderId="26" xfId="0" applyFont="1" applyFill="1" applyBorder="1" applyAlignment="1">
      <alignment horizontal="center"/>
    </xf>
    <xf numFmtId="0" fontId="9" fillId="4" borderId="20" xfId="0" applyFont="1" applyFill="1" applyBorder="1" applyAlignment="1">
      <alignment horizontal="center"/>
    </xf>
    <xf numFmtId="165" fontId="0" fillId="3" borderId="5" xfId="0" applyNumberFormat="1" applyFill="1" applyBorder="1"/>
    <xf numFmtId="165" fontId="5" fillId="0" borderId="0" xfId="1" applyNumberFormat="1" applyFont="1" applyFill="1" applyBorder="1" applyAlignment="1">
      <alignment horizontal="center"/>
    </xf>
    <xf numFmtId="43" fontId="2" fillId="2" borderId="0" xfId="1" applyFont="1" applyFill="1"/>
    <xf numFmtId="0" fontId="0" fillId="4" borderId="46" xfId="0" applyFill="1" applyBorder="1"/>
    <xf numFmtId="165" fontId="5" fillId="0" borderId="7" xfId="1" applyNumberFormat="1" applyFont="1" applyFill="1" applyBorder="1" applyAlignment="1">
      <alignment horizontal="center"/>
    </xf>
    <xf numFmtId="165"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8" xfId="0" applyFont="1" applyFill="1" applyBorder="1" applyAlignment="1">
      <alignment horizontal="left"/>
    </xf>
    <xf numFmtId="0" fontId="2" fillId="4" borderId="32" xfId="0" applyFont="1" applyFill="1" applyBorder="1"/>
    <xf numFmtId="0" fontId="2" fillId="4" borderId="30" xfId="0" applyFont="1" applyFill="1" applyBorder="1" applyAlignment="1">
      <alignment horizontal="left"/>
    </xf>
    <xf numFmtId="0" fontId="2" fillId="4" borderId="21" xfId="0" applyFont="1" applyFill="1" applyBorder="1"/>
    <xf numFmtId="0" fontId="2" fillId="4" borderId="6" xfId="0" applyFont="1" applyFill="1" applyBorder="1" applyAlignment="1">
      <alignment horizontal="left"/>
    </xf>
    <xf numFmtId="0" fontId="2" fillId="4" borderId="46" xfId="0" applyFont="1" applyFill="1" applyBorder="1"/>
    <xf numFmtId="0" fontId="9" fillId="6" borderId="4" xfId="0" applyFont="1" applyFill="1" applyBorder="1" applyAlignment="1">
      <alignment horizontal="center"/>
    </xf>
    <xf numFmtId="0" fontId="9" fillId="6" borderId="0" xfId="0" applyFont="1" applyFill="1" applyAlignment="1">
      <alignment horizontal="center"/>
    </xf>
    <xf numFmtId="0" fontId="2" fillId="6" borderId="26" xfId="0" applyFont="1" applyFill="1" applyBorder="1" applyAlignment="1">
      <alignment horizontal="center"/>
    </xf>
    <xf numFmtId="43" fontId="5" fillId="3" borderId="29" xfId="1" applyFont="1" applyFill="1" applyBorder="1" applyAlignment="1">
      <alignment horizontal="center"/>
    </xf>
    <xf numFmtId="43" fontId="5" fillId="3" borderId="39" xfId="1" applyFont="1" applyFill="1" applyBorder="1" applyAlignment="1">
      <alignment horizontal="center"/>
    </xf>
    <xf numFmtId="43" fontId="5" fillId="3" borderId="26" xfId="0" applyNumberFormat="1" applyFont="1" applyFill="1" applyBorder="1" applyAlignment="1">
      <alignment horizontal="right"/>
    </xf>
    <xf numFmtId="0" fontId="5" fillId="3" borderId="42" xfId="0" applyFont="1" applyFill="1" applyBorder="1"/>
    <xf numFmtId="43" fontId="5" fillId="3" borderId="0" xfId="0" applyNumberFormat="1" applyFont="1" applyFill="1" applyAlignment="1">
      <alignment horizontal="right"/>
    </xf>
    <xf numFmtId="0" fontId="5" fillId="3" borderId="5" xfId="0" applyFont="1" applyFill="1" applyBorder="1"/>
    <xf numFmtId="0" fontId="0" fillId="4" borderId="25" xfId="0" applyFill="1" applyBorder="1" applyAlignment="1">
      <alignment horizontal="left" indent="1"/>
    </xf>
    <xf numFmtId="0" fontId="2" fillId="4" borderId="26" xfId="0" applyFont="1" applyFill="1" applyBorder="1" applyAlignment="1">
      <alignment horizontal="right"/>
    </xf>
    <xf numFmtId="0" fontId="2" fillId="4" borderId="0" xfId="0" applyFont="1" applyFill="1" applyAlignment="1">
      <alignment horizontal="right"/>
    </xf>
    <xf numFmtId="0" fontId="5" fillId="3" borderId="0" xfId="0" applyFont="1" applyFill="1" applyAlignment="1">
      <alignment horizontal="right"/>
    </xf>
    <xf numFmtId="0" fontId="2" fillId="3" borderId="5" xfId="0" applyFont="1" applyFill="1" applyBorder="1" applyAlignment="1">
      <alignment horizontal="right"/>
    </xf>
    <xf numFmtId="0" fontId="2" fillId="4" borderId="19" xfId="0" applyFont="1" applyFill="1" applyBorder="1" applyAlignment="1">
      <alignment horizontal="right"/>
    </xf>
    <xf numFmtId="0" fontId="2" fillId="3" borderId="42" xfId="0" applyFont="1" applyFill="1" applyBorder="1" applyAlignment="1">
      <alignment horizontal="right"/>
    </xf>
    <xf numFmtId="0" fontId="2" fillId="4" borderId="7" xfId="0" applyFont="1" applyFill="1" applyBorder="1" applyAlignment="1">
      <alignment horizontal="right"/>
    </xf>
    <xf numFmtId="0" fontId="2" fillId="4" borderId="29" xfId="0" applyFont="1" applyFill="1" applyBorder="1" applyAlignment="1">
      <alignment horizontal="center" vertical="center"/>
    </xf>
    <xf numFmtId="165" fontId="5" fillId="3" borderId="27" xfId="1" applyNumberFormat="1" applyFont="1" applyFill="1" applyBorder="1" applyAlignment="1"/>
    <xf numFmtId="165" fontId="5" fillId="3" borderId="0" xfId="1" applyNumberFormat="1" applyFont="1" applyFill="1" applyBorder="1" applyAlignment="1"/>
    <xf numFmtId="165" fontId="5" fillId="3" borderId="32" xfId="1" applyNumberFormat="1" applyFont="1" applyFill="1" applyBorder="1" applyAlignment="1"/>
    <xf numFmtId="165" fontId="5" fillId="3" borderId="44" xfId="1" applyNumberFormat="1" applyFont="1" applyFill="1" applyBorder="1" applyAlignment="1">
      <alignment horizontal="center"/>
    </xf>
    <xf numFmtId="165" fontId="5" fillId="3" borderId="27" xfId="1" applyNumberFormat="1" applyFont="1" applyFill="1" applyBorder="1" applyAlignment="1">
      <alignment horizontal="center"/>
    </xf>
    <xf numFmtId="165" fontId="7" fillId="0" borderId="0" xfId="1" applyNumberFormat="1" applyFont="1" applyFill="1" applyBorder="1" applyAlignment="1">
      <alignment horizontal="right"/>
    </xf>
    <xf numFmtId="165" fontId="5" fillId="3" borderId="32" xfId="1" applyNumberFormat="1" applyFont="1" applyFill="1" applyBorder="1" applyAlignment="1">
      <alignment horizontal="right"/>
    </xf>
    <xf numFmtId="165" fontId="5" fillId="3" borderId="44" xfId="1" applyNumberFormat="1" applyFont="1" applyFill="1" applyBorder="1" applyAlignment="1">
      <alignment horizontal="right"/>
    </xf>
    <xf numFmtId="165" fontId="5" fillId="3" borderId="19" xfId="1" applyNumberFormat="1" applyFont="1" applyFill="1" applyBorder="1" applyAlignment="1">
      <alignment horizontal="right"/>
    </xf>
    <xf numFmtId="165" fontId="5" fillId="3" borderId="27" xfId="1" applyNumberFormat="1" applyFont="1" applyFill="1" applyBorder="1" applyAlignment="1">
      <alignment horizontal="right"/>
    </xf>
    <xf numFmtId="165" fontId="5" fillId="3" borderId="5" xfId="1" applyNumberFormat="1" applyFont="1" applyFill="1" applyBorder="1" applyAlignment="1">
      <alignment horizontal="right"/>
    </xf>
    <xf numFmtId="165" fontId="5" fillId="0" borderId="27" xfId="1" applyNumberFormat="1" applyFont="1" applyFill="1" applyBorder="1" applyAlignment="1"/>
    <xf numFmtId="165" fontId="5" fillId="0" borderId="0" xfId="1" applyNumberFormat="1" applyFont="1" applyFill="1" applyBorder="1" applyAlignment="1"/>
    <xf numFmtId="165" fontId="5" fillId="0" borderId="5" xfId="1" applyNumberFormat="1" applyFont="1" applyFill="1" applyBorder="1" applyAlignment="1">
      <alignment horizontal="center"/>
    </xf>
    <xf numFmtId="165" fontId="5" fillId="0" borderId="19" xfId="1" applyNumberFormat="1" applyFont="1" applyFill="1" applyBorder="1" applyAlignment="1">
      <alignment horizontal="center"/>
    </xf>
    <xf numFmtId="165" fontId="5" fillId="0" borderId="32" xfId="1" applyNumberFormat="1" applyFont="1" applyFill="1" applyBorder="1" applyAlignment="1"/>
    <xf numFmtId="165" fontId="5" fillId="0" borderId="43" xfId="1" applyNumberFormat="1" applyFont="1" applyFill="1" applyBorder="1" applyAlignment="1"/>
    <xf numFmtId="0" fontId="2" fillId="6" borderId="38" xfId="0" applyFont="1" applyFill="1" applyBorder="1" applyAlignment="1">
      <alignment horizontal="left"/>
    </xf>
    <xf numFmtId="0" fontId="0" fillId="6" borderId="39" xfId="0" applyFill="1" applyBorder="1"/>
    <xf numFmtId="0" fontId="0" fillId="6" borderId="33" xfId="0" applyFill="1" applyBorder="1"/>
    <xf numFmtId="0" fontId="9" fillId="4" borderId="29" xfId="0" applyFont="1" applyFill="1" applyBorder="1" applyAlignment="1">
      <alignment horizontal="center"/>
    </xf>
    <xf numFmtId="0" fontId="9" fillId="4" borderId="21" xfId="0" applyFont="1" applyFill="1" applyBorder="1" applyAlignment="1">
      <alignment horizontal="center"/>
    </xf>
    <xf numFmtId="0" fontId="2" fillId="4" borderId="38" xfId="0" applyFont="1" applyFill="1" applyBorder="1" applyAlignment="1">
      <alignment horizontal="left"/>
    </xf>
    <xf numFmtId="0" fontId="9" fillId="4" borderId="39" xfId="0" applyFont="1" applyFill="1" applyBorder="1" applyAlignment="1">
      <alignment horizontal="center"/>
    </xf>
    <xf numFmtId="0" fontId="9" fillId="4" borderId="33" xfId="0" applyFont="1" applyFill="1" applyBorder="1" applyAlignment="1">
      <alignment horizontal="center"/>
    </xf>
    <xf numFmtId="0" fontId="2" fillId="3" borderId="0" xfId="0" applyFont="1" applyFill="1" applyAlignment="1">
      <alignment horizontal="left"/>
    </xf>
    <xf numFmtId="0" fontId="9" fillId="3" borderId="0" xfId="0" applyFont="1" applyFill="1" applyAlignment="1">
      <alignment horizontal="center"/>
    </xf>
    <xf numFmtId="0" fontId="8" fillId="3" borderId="0" xfId="0" applyFont="1" applyFill="1" applyAlignment="1">
      <alignment horizontal="right"/>
    </xf>
    <xf numFmtId="0" fontId="2" fillId="4" borderId="21" xfId="0" applyFont="1" applyFill="1" applyBorder="1" applyAlignment="1">
      <alignment horizontal="center"/>
    </xf>
    <xf numFmtId="0" fontId="2" fillId="4" borderId="29" xfId="0" applyFont="1" applyFill="1" applyBorder="1" applyAlignment="1">
      <alignment horizontal="center"/>
    </xf>
    <xf numFmtId="14" fontId="5" fillId="3" borderId="29" xfId="0" applyNumberFormat="1" applyFont="1" applyFill="1" applyBorder="1" applyAlignment="1">
      <alignment horizontal="center"/>
    </xf>
    <xf numFmtId="0" fontId="2" fillId="4" borderId="26" xfId="0" applyFont="1" applyFill="1" applyBorder="1"/>
    <xf numFmtId="0" fontId="2" fillId="7" borderId="26" xfId="0" applyFont="1" applyFill="1" applyBorder="1" applyAlignment="1">
      <alignment horizontal="center"/>
    </xf>
    <xf numFmtId="0" fontId="5" fillId="3" borderId="0" xfId="0" applyFont="1" applyFill="1" applyAlignment="1">
      <alignment horizontal="center"/>
    </xf>
    <xf numFmtId="167" fontId="7" fillId="3" borderId="0" xfId="0" applyNumberFormat="1" applyFont="1" applyFill="1"/>
    <xf numFmtId="167" fontId="7" fillId="3" borderId="5" xfId="0" applyNumberFormat="1" applyFont="1" applyFill="1" applyBorder="1"/>
    <xf numFmtId="0" fontId="5" fillId="3" borderId="19" xfId="0" applyFont="1" applyFill="1" applyBorder="1" applyAlignment="1">
      <alignment horizontal="center"/>
    </xf>
    <xf numFmtId="0" fontId="6" fillId="4" borderId="26" xfId="0" applyFont="1" applyFill="1" applyBorder="1"/>
    <xf numFmtId="0" fontId="6" fillId="4" borderId="20" xfId="0" applyFont="1" applyFill="1" applyBorder="1"/>
    <xf numFmtId="10" fontId="0" fillId="2" borderId="0" xfId="0" applyNumberFormat="1" applyFill="1"/>
    <xf numFmtId="0" fontId="9" fillId="4" borderId="7" xfId="0" applyFont="1" applyFill="1" applyBorder="1" applyAlignment="1">
      <alignment horizontal="center"/>
    </xf>
    <xf numFmtId="0" fontId="9" fillId="4" borderId="46" xfId="0" applyFont="1" applyFill="1" applyBorder="1" applyAlignment="1">
      <alignment horizontal="center"/>
    </xf>
    <xf numFmtId="0" fontId="0" fillId="3" borderId="6" xfId="0" applyFill="1" applyBorder="1"/>
    <xf numFmtId="0" fontId="0" fillId="3" borderId="7" xfId="0" applyFill="1" applyBorder="1"/>
    <xf numFmtId="0" fontId="2" fillId="2" borderId="0" xfId="0" applyFont="1" applyFill="1"/>
    <xf numFmtId="167" fontId="0" fillId="2" borderId="0" xfId="0" applyNumberFormat="1" applyFill="1"/>
    <xf numFmtId="16" fontId="0" fillId="2" borderId="0" xfId="0" applyNumberFormat="1" applyFill="1"/>
    <xf numFmtId="0" fontId="2" fillId="4" borderId="4" xfId="0" applyFont="1" applyFill="1" applyBorder="1" applyAlignment="1">
      <alignment horizontal="left" vertical="center"/>
    </xf>
    <xf numFmtId="0" fontId="2" fillId="4" borderId="39" xfId="0" applyFont="1" applyFill="1" applyBorder="1"/>
    <xf numFmtId="0" fontId="0" fillId="4" borderId="26" xfId="0" applyFill="1" applyBorder="1" applyAlignment="1">
      <alignment horizontal="center"/>
    </xf>
    <xf numFmtId="0" fontId="0" fillId="4" borderId="20" xfId="0" applyFill="1" applyBorder="1" applyAlignment="1">
      <alignment horizontal="center"/>
    </xf>
    <xf numFmtId="0" fontId="0" fillId="4" borderId="0" xfId="0" applyFill="1" applyAlignment="1">
      <alignment horizontal="center"/>
    </xf>
    <xf numFmtId="0" fontId="0" fillId="4" borderId="4" xfId="0" applyFill="1" applyBorder="1" applyAlignment="1">
      <alignment horizontal="left"/>
    </xf>
    <xf numFmtId="165" fontId="6" fillId="3" borderId="5" xfId="1" applyNumberFormat="1" applyFont="1" applyFill="1" applyBorder="1" applyAlignment="1">
      <alignment horizontal="center"/>
    </xf>
    <xf numFmtId="0" fontId="0" fillId="3" borderId="48" xfId="0" applyFill="1" applyBorder="1"/>
    <xf numFmtId="165" fontId="6" fillId="3" borderId="44" xfId="1" applyNumberFormat="1" applyFont="1" applyFill="1" applyBorder="1" applyAlignment="1">
      <alignment horizontal="center"/>
    </xf>
    <xf numFmtId="0" fontId="0" fillId="4" borderId="27" xfId="0" applyFill="1" applyBorder="1" applyAlignment="1">
      <alignment horizontal="center"/>
    </xf>
    <xf numFmtId="165" fontId="0" fillId="3" borderId="5" xfId="1" applyNumberFormat="1" applyFont="1" applyFill="1" applyBorder="1" applyAlignment="1">
      <alignment horizontal="center"/>
    </xf>
    <xf numFmtId="0" fontId="0" fillId="4" borderId="19" xfId="0" applyFill="1" applyBorder="1" applyAlignment="1">
      <alignment horizontal="center"/>
    </xf>
    <xf numFmtId="0" fontId="0" fillId="4" borderId="32" xfId="0" applyFill="1" applyBorder="1" applyAlignment="1">
      <alignment horizontal="center"/>
    </xf>
    <xf numFmtId="9" fontId="0" fillId="2" borderId="0" xfId="2" applyFont="1" applyFill="1"/>
    <xf numFmtId="0" fontId="0" fillId="4" borderId="29" xfId="0" applyFill="1" applyBorder="1" applyAlignment="1">
      <alignment horizontal="center"/>
    </xf>
    <xf numFmtId="0" fontId="0" fillId="4" borderId="21" xfId="0" applyFill="1" applyBorder="1" applyAlignment="1">
      <alignment horizontal="center"/>
    </xf>
    <xf numFmtId="165" fontId="7" fillId="3" borderId="5" xfId="1" applyNumberFormat="1" applyFont="1" applyFill="1" applyBorder="1" applyAlignment="1">
      <alignment horizontal="right"/>
    </xf>
    <xf numFmtId="0" fontId="0" fillId="4" borderId="18" xfId="0" applyFill="1" applyBorder="1" applyAlignment="1">
      <alignment horizontal="left"/>
    </xf>
    <xf numFmtId="165" fontId="7" fillId="3" borderId="44" xfId="1" applyNumberFormat="1" applyFont="1" applyFill="1" applyBorder="1" applyAlignment="1">
      <alignment horizontal="right"/>
    </xf>
    <xf numFmtId="0" fontId="2" fillId="4" borderId="39" xfId="0" applyFont="1" applyFill="1" applyBorder="1" applyAlignment="1">
      <alignment horizontal="center"/>
    </xf>
    <xf numFmtId="0" fontId="2" fillId="4" borderId="33" xfId="0" applyFont="1" applyFill="1" applyBorder="1" applyAlignment="1">
      <alignment horizontal="center"/>
    </xf>
    <xf numFmtId="0" fontId="0" fillId="3" borderId="0" xfId="0" applyFill="1" applyAlignment="1">
      <alignment horizontal="center"/>
    </xf>
    <xf numFmtId="0" fontId="9" fillId="4" borderId="30" xfId="0" applyFont="1" applyFill="1" applyBorder="1" applyAlignment="1">
      <alignment horizontal="left"/>
    </xf>
    <xf numFmtId="0" fontId="2" fillId="4" borderId="26" xfId="0" applyFont="1" applyFill="1" applyBorder="1" applyAlignment="1">
      <alignment horizontal="center"/>
    </xf>
    <xf numFmtId="0" fontId="2" fillId="4" borderId="0" xfId="0" applyFont="1" applyFill="1" applyAlignment="1">
      <alignment horizontal="center"/>
    </xf>
    <xf numFmtId="165" fontId="6" fillId="3" borderId="27" xfId="1" applyNumberFormat="1" applyFont="1" applyFill="1" applyBorder="1" applyAlignment="1">
      <alignment horizontal="center"/>
    </xf>
    <xf numFmtId="0" fontId="16" fillId="4" borderId="4" xfId="0" applyFont="1" applyFill="1" applyBorder="1" applyAlignment="1">
      <alignment horizontal="left" indent="1"/>
    </xf>
    <xf numFmtId="0" fontId="16" fillId="4" borderId="18" xfId="0" applyFont="1" applyFill="1" applyBorder="1" applyAlignment="1">
      <alignment horizontal="left" indent="1"/>
    </xf>
    <xf numFmtId="0" fontId="2" fillId="4" borderId="19" xfId="0" applyFont="1" applyFill="1" applyBorder="1" applyAlignment="1">
      <alignment horizontal="center"/>
    </xf>
    <xf numFmtId="165" fontId="6" fillId="3" borderId="32" xfId="1" applyNumberFormat="1" applyFont="1" applyFill="1" applyBorder="1" applyAlignment="1">
      <alignment horizontal="center"/>
    </xf>
    <xf numFmtId="0" fontId="17" fillId="4" borderId="25" xfId="0" applyFont="1" applyFill="1" applyBorder="1" applyAlignment="1">
      <alignment horizontal="left"/>
    </xf>
    <xf numFmtId="0" fontId="2" fillId="4" borderId="7" xfId="0" applyFont="1" applyFill="1" applyBorder="1" applyAlignment="1">
      <alignment horizontal="center"/>
    </xf>
    <xf numFmtId="0" fontId="0" fillId="4" borderId="30" xfId="0" applyFill="1" applyBorder="1" applyAlignment="1">
      <alignment horizontal="center"/>
    </xf>
    <xf numFmtId="0" fontId="2" fillId="4" borderId="23" xfId="0" applyFont="1" applyFill="1" applyBorder="1" applyAlignment="1">
      <alignment horizontal="left"/>
    </xf>
    <xf numFmtId="0" fontId="0" fillId="4" borderId="43" xfId="0" applyFill="1" applyBorder="1" applyAlignment="1">
      <alignment horizontal="left"/>
    </xf>
    <xf numFmtId="168" fontId="0" fillId="2" borderId="0" xfId="1" applyNumberFormat="1" applyFont="1" applyFill="1"/>
    <xf numFmtId="167" fontId="7" fillId="3" borderId="23" xfId="0" applyNumberFormat="1" applyFont="1" applyFill="1" applyBorder="1" applyAlignment="1">
      <alignment horizontal="center"/>
    </xf>
    <xf numFmtId="167" fontId="7" fillId="3" borderId="29" xfId="0" applyNumberFormat="1" applyFont="1" applyFill="1" applyBorder="1" applyAlignment="1">
      <alignment horizontal="center"/>
    </xf>
    <xf numFmtId="167" fontId="7" fillId="3" borderId="37" xfId="0" applyNumberFormat="1" applyFont="1" applyFill="1" applyBorder="1" applyAlignment="1">
      <alignment horizontal="center"/>
    </xf>
    <xf numFmtId="0" fontId="5" fillId="3" borderId="31" xfId="0" applyFont="1" applyFill="1" applyBorder="1" applyAlignment="1">
      <alignment horizontal="center"/>
    </xf>
    <xf numFmtId="0" fontId="5" fillId="3" borderId="32" xfId="0" applyFont="1" applyFill="1" applyBorder="1" applyAlignment="1">
      <alignment horizontal="center"/>
    </xf>
    <xf numFmtId="0" fontId="7" fillId="3" borderId="31" xfId="0" applyFont="1" applyFill="1" applyBorder="1" applyAlignment="1">
      <alignment horizontal="center"/>
    </xf>
    <xf numFmtId="0" fontId="7" fillId="3" borderId="32" xfId="0" applyFont="1" applyFill="1" applyBorder="1" applyAlignment="1">
      <alignment horizontal="center"/>
    </xf>
    <xf numFmtId="167" fontId="7" fillId="3" borderId="19" xfId="1" applyNumberFormat="1" applyFont="1" applyFill="1" applyBorder="1" applyAlignment="1">
      <alignment horizontal="center"/>
    </xf>
    <xf numFmtId="0" fontId="2" fillId="4" borderId="29" xfId="0" applyFont="1" applyFill="1" applyBorder="1" applyAlignment="1">
      <alignment horizontal="center"/>
    </xf>
    <xf numFmtId="16" fontId="5" fillId="3" borderId="43" xfId="0" applyNumberFormat="1" applyFont="1" applyFill="1" applyBorder="1" applyAlignment="1">
      <alignment horizontal="center"/>
    </xf>
    <xf numFmtId="0" fontId="5" fillId="3" borderId="27" xfId="0" applyFont="1" applyFill="1" applyBorder="1" applyAlignment="1">
      <alignment horizontal="center"/>
    </xf>
    <xf numFmtId="10" fontId="7" fillId="3" borderId="43" xfId="0" applyNumberFormat="1" applyFont="1" applyFill="1" applyBorder="1" applyAlignment="1">
      <alignment horizontal="center"/>
    </xf>
    <xf numFmtId="0" fontId="7" fillId="3" borderId="27" xfId="0" applyFont="1" applyFill="1" applyBorder="1" applyAlignment="1">
      <alignment horizontal="center"/>
    </xf>
    <xf numFmtId="167" fontId="7" fillId="3" borderId="0" xfId="1" applyNumberFormat="1" applyFont="1" applyFill="1" applyBorder="1" applyAlignment="1">
      <alignment horizontal="center"/>
    </xf>
    <xf numFmtId="167" fontId="7" fillId="3" borderId="0" xfId="0" applyNumberFormat="1" applyFont="1" applyFill="1" applyAlignment="1">
      <alignment horizontal="center"/>
    </xf>
    <xf numFmtId="167" fontId="7" fillId="3" borderId="5" xfId="0" applyNumberFormat="1" applyFont="1" applyFill="1" applyBorder="1" applyAlignment="1">
      <alignment horizontal="center"/>
    </xf>
    <xf numFmtId="14" fontId="5" fillId="3" borderId="23" xfId="0" applyNumberFormat="1" applyFont="1" applyFill="1" applyBorder="1" applyAlignment="1">
      <alignment horizontal="center"/>
    </xf>
    <xf numFmtId="14" fontId="5" fillId="3" borderId="21" xfId="0" applyNumberFormat="1" applyFont="1" applyFill="1" applyBorder="1" applyAlignment="1">
      <alignment horizontal="center"/>
    </xf>
    <xf numFmtId="10" fontId="5" fillId="3" borderId="23" xfId="0" applyNumberFormat="1" applyFont="1" applyFill="1" applyBorder="1" applyAlignment="1">
      <alignment horizontal="center"/>
    </xf>
    <xf numFmtId="10" fontId="5" fillId="3" borderId="21" xfId="0" applyNumberFormat="1" applyFont="1" applyFill="1" applyBorder="1" applyAlignment="1">
      <alignment horizontal="center"/>
    </xf>
    <xf numFmtId="167" fontId="7" fillId="3" borderId="21" xfId="0" applyNumberFormat="1" applyFont="1" applyFill="1" applyBorder="1" applyAlignment="1">
      <alignment horizontal="center"/>
    </xf>
    <xf numFmtId="0" fontId="2" fillId="7" borderId="28" xfId="0" applyFont="1" applyFill="1" applyBorder="1" applyAlignment="1">
      <alignment horizontal="center"/>
    </xf>
    <xf numFmtId="0" fontId="2" fillId="7" borderId="20" xfId="0" applyFont="1" applyFill="1" applyBorder="1" applyAlignment="1">
      <alignment horizontal="center"/>
    </xf>
    <xf numFmtId="0" fontId="6" fillId="7" borderId="28" xfId="0" applyFont="1" applyFill="1" applyBorder="1" applyAlignment="1">
      <alignment horizontal="center"/>
    </xf>
    <xf numFmtId="0" fontId="6" fillId="7" borderId="20" xfId="0" applyFont="1" applyFill="1" applyBorder="1" applyAlignment="1">
      <alignment horizontal="center"/>
    </xf>
    <xf numFmtId="167" fontId="7" fillId="7" borderId="0" xfId="1" applyNumberFormat="1" applyFont="1" applyFill="1" applyBorder="1" applyAlignment="1">
      <alignment horizontal="center"/>
    </xf>
    <xf numFmtId="167" fontId="7" fillId="7" borderId="26" xfId="0" applyNumberFormat="1" applyFont="1" applyFill="1" applyBorder="1" applyAlignment="1">
      <alignment horizontal="center"/>
    </xf>
    <xf numFmtId="167" fontId="7" fillId="7" borderId="42" xfId="0" applyNumberFormat="1" applyFont="1" applyFill="1" applyBorder="1" applyAlignment="1">
      <alignment horizontal="center"/>
    </xf>
    <xf numFmtId="0" fontId="9" fillId="5" borderId="1" xfId="0" applyFont="1" applyFill="1" applyBorder="1" applyAlignment="1">
      <alignment horizontal="center"/>
    </xf>
    <xf numFmtId="0" fontId="9" fillId="5" borderId="2" xfId="0" applyFont="1" applyFill="1" applyBorder="1" applyAlignment="1">
      <alignment horizontal="center"/>
    </xf>
    <xf numFmtId="0" fontId="9" fillId="5" borderId="3" xfId="0" applyFont="1" applyFill="1" applyBorder="1" applyAlignment="1">
      <alignment horizontal="center"/>
    </xf>
    <xf numFmtId="10" fontId="7" fillId="3" borderId="23" xfId="0" applyNumberFormat="1" applyFont="1" applyFill="1" applyBorder="1" applyAlignment="1">
      <alignment horizontal="center" vertical="center"/>
    </xf>
    <xf numFmtId="10" fontId="7" fillId="3" borderId="29" xfId="0" applyNumberFormat="1" applyFont="1" applyFill="1" applyBorder="1" applyAlignment="1">
      <alignment horizontal="center" vertical="center"/>
    </xf>
    <xf numFmtId="10" fontId="7" fillId="3" borderId="37" xfId="0" applyNumberFormat="1" applyFont="1" applyFill="1" applyBorder="1" applyAlignment="1">
      <alignment horizontal="center" vertical="center"/>
    </xf>
    <xf numFmtId="0" fontId="2" fillId="4" borderId="23"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3" xfId="0" applyFont="1" applyFill="1" applyBorder="1" applyAlignment="1">
      <alignment horizontal="center"/>
    </xf>
    <xf numFmtId="0" fontId="2" fillId="4" borderId="21" xfId="0" applyFont="1" applyFill="1" applyBorder="1" applyAlignment="1">
      <alignment horizontal="center"/>
    </xf>
    <xf numFmtId="0" fontId="2" fillId="4" borderId="37" xfId="0" applyFont="1" applyFill="1" applyBorder="1" applyAlignment="1">
      <alignment horizontal="center"/>
    </xf>
    <xf numFmtId="165" fontId="5" fillId="3" borderId="23" xfId="1" applyNumberFormat="1" applyFont="1" applyFill="1" applyBorder="1" applyAlignment="1">
      <alignment horizontal="center"/>
    </xf>
    <xf numFmtId="165" fontId="5" fillId="3" borderId="29" xfId="1" applyNumberFormat="1" applyFont="1" applyFill="1" applyBorder="1" applyAlignment="1">
      <alignment horizontal="center"/>
    </xf>
    <xf numFmtId="165" fontId="5" fillId="3" borderId="37" xfId="1" applyNumberFormat="1" applyFont="1" applyFill="1" applyBorder="1" applyAlignment="1">
      <alignment horizontal="center"/>
    </xf>
    <xf numFmtId="165" fontId="5" fillId="3" borderId="39" xfId="1" applyNumberFormat="1" applyFont="1" applyFill="1" applyBorder="1" applyAlignment="1">
      <alignment horizontal="center"/>
    </xf>
    <xf numFmtId="165" fontId="5" fillId="3" borderId="40" xfId="1" applyNumberFormat="1" applyFont="1" applyFill="1" applyBorder="1" applyAlignment="1">
      <alignment horizontal="center"/>
    </xf>
    <xf numFmtId="165" fontId="5" fillId="0" borderId="23" xfId="1" applyNumberFormat="1" applyFont="1" applyFill="1" applyBorder="1" applyAlignment="1">
      <alignment horizontal="center"/>
    </xf>
    <xf numFmtId="165" fontId="5" fillId="0" borderId="29" xfId="1" applyNumberFormat="1" applyFont="1" applyFill="1" applyBorder="1" applyAlignment="1">
      <alignment horizontal="center"/>
    </xf>
    <xf numFmtId="165" fontId="5" fillId="0" borderId="37" xfId="1" applyNumberFormat="1" applyFont="1" applyFill="1" applyBorder="1" applyAlignment="1">
      <alignment horizontal="center"/>
    </xf>
    <xf numFmtId="165" fontId="5" fillId="3" borderId="35" xfId="1" applyNumberFormat="1" applyFont="1" applyFill="1" applyBorder="1" applyAlignment="1">
      <alignment horizontal="center"/>
    </xf>
    <xf numFmtId="165" fontId="15" fillId="6" borderId="35" xfId="1" applyNumberFormat="1" applyFont="1" applyFill="1" applyBorder="1" applyAlignment="1">
      <alignment horizontal="right"/>
    </xf>
    <xf numFmtId="165" fontId="15" fillId="6" borderId="39" xfId="1" applyNumberFormat="1" applyFont="1" applyFill="1" applyBorder="1" applyAlignment="1">
      <alignment horizontal="right"/>
    </xf>
    <xf numFmtId="165" fontId="15" fillId="6" borderId="33" xfId="1" applyNumberFormat="1" applyFont="1" applyFill="1" applyBorder="1" applyAlignment="1">
      <alignment horizontal="right"/>
    </xf>
    <xf numFmtId="165" fontId="15" fillId="6" borderId="35" xfId="1" applyNumberFormat="1" applyFont="1" applyFill="1" applyBorder="1" applyAlignment="1">
      <alignment horizontal="center"/>
    </xf>
    <xf numFmtId="165" fontId="15" fillId="6" borderId="39" xfId="1" applyNumberFormat="1" applyFont="1" applyFill="1" applyBorder="1" applyAlignment="1">
      <alignment horizontal="center"/>
    </xf>
    <xf numFmtId="165" fontId="15" fillId="6" borderId="40" xfId="1" applyNumberFormat="1" applyFont="1" applyFill="1" applyBorder="1" applyAlignment="1">
      <alignment horizontal="center"/>
    </xf>
    <xf numFmtId="0" fontId="9" fillId="5" borderId="12" xfId="0" applyFont="1" applyFill="1" applyBorder="1" applyAlignment="1">
      <alignment horizontal="center"/>
    </xf>
    <xf numFmtId="0" fontId="9" fillId="5" borderId="13" xfId="0" applyFont="1" applyFill="1" applyBorder="1" applyAlignment="1">
      <alignment horizontal="center"/>
    </xf>
    <xf numFmtId="0" fontId="9" fillId="5" borderId="41" xfId="0" applyFont="1" applyFill="1" applyBorder="1" applyAlignment="1">
      <alignment horizontal="center"/>
    </xf>
    <xf numFmtId="165" fontId="5" fillId="0" borderId="43" xfId="1" applyNumberFormat="1" applyFont="1" applyFill="1" applyBorder="1" applyAlignment="1">
      <alignment horizontal="right"/>
    </xf>
    <xf numFmtId="165" fontId="5" fillId="0" borderId="0" xfId="1" applyNumberFormat="1" applyFont="1" applyFill="1" applyBorder="1" applyAlignment="1">
      <alignment horizontal="right"/>
    </xf>
    <xf numFmtId="165" fontId="5" fillId="0" borderId="43" xfId="1" applyNumberFormat="1" applyFont="1" applyFill="1" applyBorder="1" applyAlignment="1">
      <alignment horizontal="center"/>
    </xf>
    <xf numFmtId="165" fontId="5" fillId="0" borderId="0" xfId="1" applyNumberFormat="1" applyFont="1" applyFill="1" applyBorder="1" applyAlignment="1">
      <alignment horizontal="center"/>
    </xf>
    <xf numFmtId="165" fontId="5" fillId="0" borderId="28" xfId="1" applyNumberFormat="1" applyFont="1" applyFill="1" applyBorder="1" applyAlignment="1">
      <alignment horizontal="right"/>
    </xf>
    <xf numFmtId="165" fontId="5" fillId="0" borderId="26" xfId="1" applyNumberFormat="1" applyFont="1" applyFill="1" applyBorder="1" applyAlignment="1">
      <alignment horizontal="right"/>
    </xf>
    <xf numFmtId="165" fontId="5" fillId="0" borderId="21" xfId="1" applyNumberFormat="1" applyFont="1" applyFill="1" applyBorder="1" applyAlignment="1">
      <alignment horizontal="center"/>
    </xf>
    <xf numFmtId="165" fontId="5" fillId="0" borderId="23" xfId="1" applyNumberFormat="1" applyFont="1" applyFill="1" applyBorder="1" applyAlignment="1">
      <alignment horizontal="right"/>
    </xf>
    <xf numFmtId="165" fontId="5" fillId="0" borderId="29" xfId="1" applyNumberFormat="1" applyFont="1" applyFill="1" applyBorder="1" applyAlignment="1">
      <alignment horizontal="right"/>
    </xf>
    <xf numFmtId="165" fontId="5" fillId="0" borderId="21" xfId="1" applyNumberFormat="1" applyFont="1" applyFill="1" applyBorder="1" applyAlignment="1">
      <alignment horizontal="right"/>
    </xf>
    <xf numFmtId="165" fontId="5" fillId="0" borderId="27" xfId="1" applyNumberFormat="1" applyFont="1" applyFill="1" applyBorder="1" applyAlignment="1">
      <alignment horizontal="center"/>
    </xf>
    <xf numFmtId="165" fontId="5" fillId="0" borderId="28" xfId="1" applyNumberFormat="1" applyFont="1" applyFill="1" applyBorder="1" applyAlignment="1">
      <alignment horizontal="center"/>
    </xf>
    <xf numFmtId="165" fontId="5" fillId="0" borderId="26" xfId="1" applyNumberFormat="1" applyFont="1" applyFill="1" applyBorder="1" applyAlignment="1">
      <alignment horizontal="center"/>
    </xf>
    <xf numFmtId="165" fontId="5" fillId="0" borderId="42" xfId="1" applyNumberFormat="1" applyFont="1" applyFill="1" applyBorder="1" applyAlignment="1">
      <alignment horizontal="center"/>
    </xf>
    <xf numFmtId="165" fontId="5" fillId="0" borderId="20" xfId="1" applyNumberFormat="1" applyFont="1" applyFill="1" applyBorder="1" applyAlignment="1">
      <alignment horizontal="center"/>
    </xf>
    <xf numFmtId="165" fontId="5" fillId="0" borderId="31" xfId="1" applyNumberFormat="1" applyFont="1" applyFill="1" applyBorder="1" applyAlignment="1">
      <alignment horizontal="center"/>
    </xf>
    <xf numFmtId="165" fontId="5" fillId="0" borderId="19" xfId="1" applyNumberFormat="1" applyFont="1" applyFill="1" applyBorder="1" applyAlignment="1">
      <alignment horizontal="center"/>
    </xf>
    <xf numFmtId="165" fontId="5" fillId="3" borderId="43"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43" xfId="1" applyNumberFormat="1" applyFont="1" applyFill="1" applyBorder="1" applyAlignment="1">
      <alignment horizontal="center"/>
    </xf>
    <xf numFmtId="165" fontId="5" fillId="3" borderId="0" xfId="1" applyNumberFormat="1" applyFont="1" applyFill="1" applyBorder="1" applyAlignment="1">
      <alignment horizontal="center"/>
    </xf>
    <xf numFmtId="165" fontId="5" fillId="0" borderId="22" xfId="1" applyNumberFormat="1" applyFont="1" applyFill="1" applyBorder="1" applyAlignment="1">
      <alignment horizontal="center"/>
    </xf>
    <xf numFmtId="165" fontId="5" fillId="0" borderId="47" xfId="1" applyNumberFormat="1" applyFont="1" applyFill="1" applyBorder="1" applyAlignment="1">
      <alignment horizontal="center"/>
    </xf>
    <xf numFmtId="165" fontId="5" fillId="3" borderId="28"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27" xfId="1" applyNumberFormat="1" applyFont="1" applyFill="1" applyBorder="1" applyAlignment="1">
      <alignment horizontal="center"/>
    </xf>
    <xf numFmtId="165" fontId="5" fillId="3" borderId="28"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42" xfId="1" applyNumberFormat="1" applyFont="1" applyFill="1" applyBorder="1" applyAlignment="1">
      <alignment horizontal="center"/>
    </xf>
    <xf numFmtId="165" fontId="5" fillId="3" borderId="22" xfId="1" applyNumberFormat="1" applyFont="1" applyFill="1" applyBorder="1" applyAlignment="1">
      <alignment horizontal="center"/>
    </xf>
    <xf numFmtId="165" fontId="5" fillId="3" borderId="31" xfId="1" applyNumberFormat="1" applyFont="1" applyFill="1" applyBorder="1" applyAlignment="1">
      <alignment horizontal="right"/>
    </xf>
    <xf numFmtId="165" fontId="5" fillId="3" borderId="19" xfId="1" applyNumberFormat="1" applyFont="1" applyFill="1" applyBorder="1" applyAlignment="1">
      <alignment horizontal="right"/>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center"/>
    </xf>
    <xf numFmtId="165" fontId="5" fillId="3" borderId="31"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0" borderId="31" xfId="1" applyNumberFormat="1" applyFont="1" applyFill="1" applyBorder="1" applyAlignment="1">
      <alignment horizontal="right"/>
    </xf>
    <xf numFmtId="165" fontId="5" fillId="0" borderId="19" xfId="1" applyNumberFormat="1" applyFont="1" applyFill="1" applyBorder="1" applyAlignment="1">
      <alignment horizontal="right"/>
    </xf>
    <xf numFmtId="165" fontId="5" fillId="3" borderId="20" xfId="1" applyNumberFormat="1" applyFont="1" applyFill="1" applyBorder="1" applyAlignment="1">
      <alignment horizontal="center"/>
    </xf>
    <xf numFmtId="165" fontId="7" fillId="3" borderId="43" xfId="1" applyNumberFormat="1" applyFont="1" applyFill="1" applyBorder="1" applyAlignment="1">
      <alignment horizontal="right"/>
    </xf>
    <xf numFmtId="165" fontId="7" fillId="3" borderId="0" xfId="1" applyNumberFormat="1" applyFont="1" applyFill="1" applyBorder="1" applyAlignment="1">
      <alignment horizontal="right"/>
    </xf>
    <xf numFmtId="165" fontId="5" fillId="3" borderId="32" xfId="1" applyNumberFormat="1" applyFont="1" applyFill="1" applyBorder="1" applyAlignment="1">
      <alignment horizontal="center"/>
    </xf>
    <xf numFmtId="0" fontId="5" fillId="3" borderId="43" xfId="0" applyFont="1" applyFill="1" applyBorder="1" applyAlignment="1">
      <alignment horizontal="right"/>
    </xf>
    <xf numFmtId="0" fontId="5" fillId="3" borderId="0" xfId="0" applyFont="1" applyFill="1" applyAlignment="1">
      <alignment horizontal="right"/>
    </xf>
    <xf numFmtId="0" fontId="14" fillId="3" borderId="31" xfId="0" applyFont="1" applyFill="1" applyBorder="1" applyAlignment="1">
      <alignment horizontal="right"/>
    </xf>
    <xf numFmtId="0" fontId="14" fillId="3" borderId="19" xfId="0" applyFont="1" applyFill="1" applyBorder="1" applyAlignment="1">
      <alignment horizontal="right"/>
    </xf>
    <xf numFmtId="0" fontId="14" fillId="3" borderId="44" xfId="0" applyFont="1" applyFill="1" applyBorder="1" applyAlignment="1">
      <alignment horizontal="right"/>
    </xf>
    <xf numFmtId="43" fontId="5" fillId="3" borderId="28" xfId="0" applyNumberFormat="1" applyFont="1" applyFill="1" applyBorder="1" applyAlignment="1">
      <alignment horizontal="right"/>
    </xf>
    <xf numFmtId="43" fontId="5" fillId="3" borderId="26" xfId="0" applyNumberFormat="1" applyFont="1" applyFill="1" applyBorder="1" applyAlignment="1">
      <alignment horizontal="right"/>
    </xf>
    <xf numFmtId="0" fontId="14" fillId="3" borderId="45" xfId="0" applyFont="1" applyFill="1" applyBorder="1" applyAlignment="1">
      <alignment horizontal="right"/>
    </xf>
    <xf numFmtId="0" fontId="14" fillId="3" borderId="7" xfId="0" applyFont="1" applyFill="1" applyBorder="1" applyAlignment="1">
      <alignment horizontal="right"/>
    </xf>
    <xf numFmtId="0" fontId="14" fillId="3" borderId="8" xfId="0" applyFont="1" applyFill="1" applyBorder="1" applyAlignment="1">
      <alignment horizontal="right"/>
    </xf>
    <xf numFmtId="0" fontId="2" fillId="4" borderId="30" xfId="0" applyFont="1" applyFill="1" applyBorder="1" applyAlignment="1">
      <alignment horizontal="left" vertical="center"/>
    </xf>
    <xf numFmtId="0" fontId="2" fillId="4" borderId="29" xfId="0" applyFont="1" applyFill="1" applyBorder="1" applyAlignment="1">
      <alignment horizontal="left" vertical="center"/>
    </xf>
    <xf numFmtId="0" fontId="2" fillId="4" borderId="21" xfId="0" applyFont="1" applyFill="1" applyBorder="1" applyAlignment="1">
      <alignment horizontal="left" vertical="center"/>
    </xf>
    <xf numFmtId="0" fontId="2" fillId="4" borderId="29" xfId="0" applyFont="1" applyFill="1" applyBorder="1" applyAlignment="1">
      <alignment horizontal="center" vertical="center"/>
    </xf>
    <xf numFmtId="0" fontId="2" fillId="4" borderId="23"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37" xfId="0" applyFont="1" applyFill="1" applyBorder="1" applyAlignment="1">
      <alignment horizontal="center" vertical="center"/>
    </xf>
    <xf numFmtId="43" fontId="5" fillId="3" borderId="43" xfId="0" applyNumberFormat="1" applyFont="1" applyFill="1" applyBorder="1" applyAlignment="1">
      <alignment horizontal="right"/>
    </xf>
    <xf numFmtId="43" fontId="5" fillId="3" borderId="0" xfId="0" applyNumberFormat="1" applyFont="1" applyFill="1" applyAlignment="1">
      <alignment horizontal="right"/>
    </xf>
    <xf numFmtId="43" fontId="5" fillId="3" borderId="23" xfId="1" applyFont="1" applyFill="1" applyBorder="1" applyAlignment="1">
      <alignment horizontal="center"/>
    </xf>
    <xf numFmtId="43" fontId="5" fillId="3" borderId="21" xfId="1" applyFont="1" applyFill="1" applyBorder="1" applyAlignment="1">
      <alignment horizontal="center"/>
    </xf>
    <xf numFmtId="43" fontId="5" fillId="3" borderId="29" xfId="1" applyFont="1" applyFill="1" applyBorder="1" applyAlignment="1">
      <alignment horizontal="center"/>
    </xf>
    <xf numFmtId="43" fontId="5" fillId="3" borderId="37" xfId="1" applyFont="1" applyFill="1" applyBorder="1" applyAlignment="1">
      <alignment horizontal="center"/>
    </xf>
    <xf numFmtId="43" fontId="5" fillId="3" borderId="35" xfId="1" applyFont="1" applyFill="1" applyBorder="1" applyAlignment="1">
      <alignment horizontal="center"/>
    </xf>
    <xf numFmtId="43" fontId="5" fillId="3" borderId="33" xfId="1" applyFont="1" applyFill="1" applyBorder="1" applyAlignment="1">
      <alignment horizontal="center"/>
    </xf>
    <xf numFmtId="43" fontId="5" fillId="3" borderId="39" xfId="1" applyFont="1" applyFill="1" applyBorder="1" applyAlignment="1">
      <alignment horizontal="center"/>
    </xf>
    <xf numFmtId="43" fontId="5" fillId="3" borderId="40" xfId="1" applyFont="1" applyFill="1" applyBorder="1" applyAlignment="1">
      <alignment horizontal="center"/>
    </xf>
    <xf numFmtId="43" fontId="5" fillId="3" borderId="39" xfId="0" applyNumberFormat="1" applyFont="1" applyFill="1" applyBorder="1" applyAlignment="1">
      <alignment horizontal="center"/>
    </xf>
    <xf numFmtId="43" fontId="5" fillId="3" borderId="40" xfId="0" applyNumberFormat="1" applyFont="1" applyFill="1" applyBorder="1" applyAlignment="1">
      <alignment horizontal="center"/>
    </xf>
    <xf numFmtId="0" fontId="2" fillId="6" borderId="23" xfId="0" applyFont="1" applyFill="1" applyBorder="1" applyAlignment="1">
      <alignment horizontal="center"/>
    </xf>
    <xf numFmtId="0" fontId="2" fillId="6" borderId="21" xfId="0" applyFont="1" applyFill="1" applyBorder="1" applyAlignment="1">
      <alignment horizontal="center"/>
    </xf>
    <xf numFmtId="0" fontId="2" fillId="6" borderId="28" xfId="0" applyFont="1" applyFill="1" applyBorder="1" applyAlignment="1">
      <alignment horizontal="center"/>
    </xf>
    <xf numFmtId="0" fontId="2" fillId="6" borderId="20" xfId="0" applyFont="1" applyFill="1" applyBorder="1" applyAlignment="1">
      <alignment horizontal="center"/>
    </xf>
    <xf numFmtId="0" fontId="2" fillId="6" borderId="26" xfId="0" applyFont="1" applyFill="1" applyBorder="1" applyAlignment="1">
      <alignment horizontal="center"/>
    </xf>
    <xf numFmtId="0" fontId="2" fillId="6" borderId="29" xfId="0" applyFont="1" applyFill="1" applyBorder="1" applyAlignment="1">
      <alignment horizontal="center"/>
    </xf>
    <xf numFmtId="0" fontId="2" fillId="6" borderId="37" xfId="0" applyFont="1" applyFill="1" applyBorder="1" applyAlignment="1">
      <alignment horizontal="center"/>
    </xf>
    <xf numFmtId="165" fontId="5" fillId="0" borderId="7" xfId="1" applyNumberFormat="1" applyFont="1" applyFill="1" applyBorder="1" applyAlignment="1">
      <alignment horizontal="center"/>
    </xf>
    <xf numFmtId="165" fontId="5" fillId="3" borderId="29" xfId="0" applyNumberFormat="1" applyFont="1" applyFill="1" applyBorder="1" applyAlignment="1">
      <alignment horizontal="center"/>
    </xf>
    <xf numFmtId="165" fontId="5" fillId="3" borderId="37" xfId="0" applyNumberFormat="1" applyFont="1" applyFill="1" applyBorder="1" applyAlignment="1">
      <alignment horizontal="center"/>
    </xf>
    <xf numFmtId="165" fontId="5" fillId="0" borderId="29" xfId="0" applyNumberFormat="1" applyFont="1" applyBorder="1" applyAlignment="1">
      <alignment horizontal="center"/>
    </xf>
    <xf numFmtId="165" fontId="5" fillId="0" borderId="37" xfId="0" applyNumberFormat="1" applyFont="1" applyBorder="1" applyAlignment="1">
      <alignment horizontal="center"/>
    </xf>
    <xf numFmtId="165" fontId="5" fillId="3" borderId="45" xfId="1" applyNumberFormat="1" applyFont="1" applyFill="1" applyBorder="1" applyAlignment="1">
      <alignment horizontal="center"/>
    </xf>
    <xf numFmtId="165" fontId="5" fillId="3" borderId="7" xfId="1" applyNumberFormat="1" applyFont="1" applyFill="1" applyBorder="1" applyAlignment="1">
      <alignment horizontal="center"/>
    </xf>
    <xf numFmtId="165" fontId="7" fillId="3" borderId="26" xfId="0" applyNumberFormat="1" applyFont="1" applyFill="1" applyBorder="1" applyAlignment="1">
      <alignment horizontal="center"/>
    </xf>
    <xf numFmtId="165" fontId="7" fillId="3" borderId="42" xfId="0" applyNumberFormat="1" applyFont="1" applyFill="1" applyBorder="1" applyAlignment="1">
      <alignment horizontal="center"/>
    </xf>
    <xf numFmtId="165" fontId="7" fillId="3" borderId="0" xfId="1" applyNumberFormat="1" applyFont="1" applyFill="1" applyBorder="1" applyAlignment="1">
      <alignment horizontal="center"/>
    </xf>
    <xf numFmtId="0" fontId="2" fillId="6" borderId="30" xfId="0" applyFont="1" applyFill="1" applyBorder="1" applyAlignment="1">
      <alignment horizontal="center"/>
    </xf>
    <xf numFmtId="165" fontId="7" fillId="0" borderId="28" xfId="0" applyNumberFormat="1" applyFont="1" applyBorder="1" applyAlignment="1">
      <alignment horizontal="center"/>
    </xf>
    <xf numFmtId="165" fontId="7" fillId="0" borderId="26" xfId="0" applyNumberFormat="1" applyFont="1" applyBorder="1" applyAlignment="1">
      <alignment horizontal="center"/>
    </xf>
    <xf numFmtId="165" fontId="7" fillId="0" borderId="42" xfId="0" applyNumberFormat="1" applyFont="1" applyBorder="1" applyAlignment="1">
      <alignment horizontal="center"/>
    </xf>
    <xf numFmtId="165" fontId="7" fillId="3" borderId="43" xfId="1" applyNumberFormat="1" applyFont="1" applyFill="1" applyBorder="1" applyAlignment="1">
      <alignment horizontal="center"/>
    </xf>
    <xf numFmtId="165" fontId="7" fillId="3" borderId="28" xfId="0" applyNumberFormat="1" applyFont="1" applyFill="1" applyBorder="1" applyAlignment="1">
      <alignment horizontal="center"/>
    </xf>
    <xf numFmtId="165" fontId="7" fillId="0" borderId="26" xfId="1" applyNumberFormat="1" applyFont="1" applyFill="1" applyBorder="1" applyAlignment="1">
      <alignment horizontal="center"/>
    </xf>
    <xf numFmtId="165" fontId="7" fillId="0" borderId="42" xfId="1" applyNumberFormat="1" applyFont="1" applyFill="1" applyBorder="1" applyAlignment="1">
      <alignment horizontal="center"/>
    </xf>
    <xf numFmtId="165" fontId="7" fillId="3" borderId="28" xfId="1" applyNumberFormat="1" applyFont="1" applyFill="1" applyBorder="1" applyAlignment="1">
      <alignment horizontal="center"/>
    </xf>
    <xf numFmtId="165" fontId="7" fillId="3" borderId="26" xfId="1" applyNumberFormat="1" applyFont="1" applyFill="1" applyBorder="1" applyAlignment="1">
      <alignment horizontal="center"/>
    </xf>
    <xf numFmtId="165" fontId="7" fillId="3" borderId="42" xfId="1" applyNumberFormat="1" applyFont="1" applyFill="1" applyBorder="1" applyAlignment="1">
      <alignment horizontal="center"/>
    </xf>
    <xf numFmtId="165" fontId="7" fillId="0" borderId="29" xfId="1" applyNumberFormat="1" applyFont="1" applyFill="1" applyBorder="1" applyAlignment="1">
      <alignment horizontal="center"/>
    </xf>
    <xf numFmtId="165" fontId="7" fillId="0" borderId="37" xfId="1" applyNumberFormat="1" applyFont="1" applyFill="1" applyBorder="1" applyAlignment="1">
      <alignment horizontal="center"/>
    </xf>
    <xf numFmtId="165" fontId="7" fillId="3" borderId="23" xfId="1" applyNumberFormat="1" applyFont="1" applyFill="1" applyBorder="1" applyAlignment="1">
      <alignment horizontal="center"/>
    </xf>
    <xf numFmtId="165" fontId="7" fillId="3" borderId="29" xfId="1" applyNumberFormat="1" applyFont="1" applyFill="1" applyBorder="1" applyAlignment="1">
      <alignment horizontal="center"/>
    </xf>
    <xf numFmtId="165" fontId="7" fillId="3" borderId="37"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21" xfId="1" applyNumberFormat="1" applyFont="1" applyFill="1" applyBorder="1" applyAlignment="1">
      <alignment horizontal="right"/>
    </xf>
    <xf numFmtId="165" fontId="5" fillId="3" borderId="22"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24" xfId="1" applyNumberFormat="1" applyFont="1" applyFill="1" applyBorder="1" applyAlignment="1">
      <alignment horizontal="right"/>
    </xf>
    <xf numFmtId="0" fontId="0" fillId="3" borderId="34" xfId="0" applyFill="1" applyBorder="1" applyAlignment="1">
      <alignment horizontal="right"/>
    </xf>
    <xf numFmtId="0" fontId="0" fillId="3" borderId="35" xfId="0" applyFill="1" applyBorder="1" applyAlignment="1">
      <alignment horizontal="right"/>
    </xf>
    <xf numFmtId="0" fontId="0" fillId="3" borderId="36" xfId="0" applyFill="1" applyBorder="1" applyAlignment="1">
      <alignment horizontal="right"/>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165" fontId="5" fillId="3" borderId="21" xfId="1" applyNumberFormat="1" applyFont="1" applyFill="1" applyBorder="1" applyAlignment="1">
      <alignment horizontal="right" wrapText="1"/>
    </xf>
    <xf numFmtId="165" fontId="5" fillId="3" borderId="22" xfId="1" applyNumberFormat="1" applyFont="1" applyFill="1" applyBorder="1" applyAlignment="1">
      <alignment horizontal="right" wrapText="1"/>
    </xf>
    <xf numFmtId="165" fontId="5" fillId="3" borderId="23" xfId="1" applyNumberFormat="1" applyFont="1" applyFill="1" applyBorder="1" applyAlignment="1">
      <alignment horizontal="right" wrapText="1"/>
    </xf>
    <xf numFmtId="165" fontId="5" fillId="3" borderId="24" xfId="1"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14" fontId="5" fillId="3" borderId="23" xfId="0" applyNumberFormat="1" applyFont="1" applyFill="1" applyBorder="1" applyAlignment="1">
      <alignment horizontal="right" wrapText="1"/>
    </xf>
    <xf numFmtId="14" fontId="5" fillId="3" borderId="24" xfId="0" applyNumberFormat="1" applyFont="1" applyFill="1" applyBorder="1" applyAlignment="1">
      <alignment horizontal="right" wrapText="1"/>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2" fillId="4" borderId="32" xfId="0" applyFont="1" applyFill="1" applyBorder="1" applyAlignment="1">
      <alignment horizontal="left" vertical="center"/>
    </xf>
    <xf numFmtId="0" fontId="3" fillId="8" borderId="1" xfId="0" applyFont="1" applyFill="1" applyBorder="1" applyAlignment="1">
      <alignment horizontal="center" vertical="center" wrapText="1"/>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17" xfId="0" applyNumberFormat="1" applyFont="1" applyFill="1" applyBorder="1" applyAlignment="1">
      <alignment horizontal="right" wrapText="1"/>
    </xf>
    <xf numFmtId="0" fontId="2" fillId="4" borderId="20" xfId="0" applyFont="1" applyFill="1" applyBorder="1" applyAlignment="1">
      <alignment horizontal="left" vertical="center"/>
    </xf>
    <xf numFmtId="165" fontId="0" fillId="3" borderId="43" xfId="1" applyNumberFormat="1" applyFont="1" applyFill="1" applyBorder="1" applyAlignment="1">
      <alignment horizontal="center"/>
    </xf>
    <xf numFmtId="165" fontId="0" fillId="3" borderId="27" xfId="1" applyNumberFormat="1" applyFont="1" applyFill="1" applyBorder="1" applyAlignment="1">
      <alignment horizontal="center"/>
    </xf>
    <xf numFmtId="9" fontId="0" fillId="3" borderId="19" xfId="2" applyFont="1" applyFill="1" applyBorder="1" applyAlignment="1">
      <alignment horizontal="center"/>
    </xf>
    <xf numFmtId="9" fontId="0" fillId="3" borderId="32" xfId="2" applyFont="1" applyFill="1" applyBorder="1" applyAlignment="1">
      <alignment horizontal="center"/>
    </xf>
    <xf numFmtId="165" fontId="0" fillId="3" borderId="31" xfId="1" applyNumberFormat="1" applyFont="1" applyFill="1" applyBorder="1" applyAlignment="1">
      <alignment horizontal="right"/>
    </xf>
    <xf numFmtId="165" fontId="0" fillId="3" borderId="32" xfId="1" applyNumberFormat="1" applyFont="1" applyFill="1" applyBorder="1" applyAlignment="1">
      <alignment horizontal="right"/>
    </xf>
    <xf numFmtId="9" fontId="0" fillId="3" borderId="31" xfId="2" applyFont="1" applyFill="1" applyBorder="1" applyAlignment="1">
      <alignment horizontal="center"/>
    </xf>
    <xf numFmtId="165" fontId="2" fillId="3" borderId="23" xfId="1" applyNumberFormat="1" applyFont="1" applyFill="1" applyBorder="1" applyAlignment="1">
      <alignment horizontal="center"/>
    </xf>
    <xf numFmtId="165" fontId="2" fillId="3" borderId="21" xfId="1" applyNumberFormat="1" applyFont="1" applyFill="1" applyBorder="1" applyAlignment="1">
      <alignment horizontal="center"/>
    </xf>
    <xf numFmtId="9" fontId="2" fillId="3" borderId="23" xfId="0" applyNumberFormat="1" applyFont="1" applyFill="1" applyBorder="1" applyAlignment="1">
      <alignment horizontal="center"/>
    </xf>
    <xf numFmtId="0" fontId="2" fillId="3" borderId="21" xfId="0" applyFont="1" applyFill="1" applyBorder="1" applyAlignment="1">
      <alignment horizontal="center"/>
    </xf>
    <xf numFmtId="165" fontId="2" fillId="3" borderId="23" xfId="1" applyNumberFormat="1" applyFont="1" applyFill="1" applyBorder="1" applyAlignment="1">
      <alignment horizontal="right"/>
    </xf>
    <xf numFmtId="165" fontId="2" fillId="3" borderId="21" xfId="1" applyNumberFormat="1" applyFont="1" applyFill="1" applyBorder="1" applyAlignment="1">
      <alignment horizontal="right"/>
    </xf>
    <xf numFmtId="9" fontId="2" fillId="3" borderId="31" xfId="2" applyFont="1" applyFill="1" applyBorder="1" applyAlignment="1">
      <alignment horizontal="center"/>
    </xf>
    <xf numFmtId="9" fontId="2" fillId="3" borderId="32" xfId="2" applyFont="1" applyFill="1" applyBorder="1" applyAlignment="1">
      <alignment horizontal="center"/>
    </xf>
    <xf numFmtId="9" fontId="0" fillId="3" borderId="0" xfId="2" applyFont="1" applyFill="1" applyBorder="1" applyAlignment="1">
      <alignment horizontal="center"/>
    </xf>
    <xf numFmtId="9" fontId="0" fillId="3" borderId="27" xfId="2" applyFont="1" applyFill="1" applyBorder="1" applyAlignment="1">
      <alignment horizontal="center"/>
    </xf>
    <xf numFmtId="165" fontId="0" fillId="3" borderId="43" xfId="1" applyNumberFormat="1" applyFont="1" applyFill="1" applyBorder="1" applyAlignment="1">
      <alignment horizontal="right"/>
    </xf>
    <xf numFmtId="165" fontId="0" fillId="3" borderId="27" xfId="1" applyNumberFormat="1" applyFont="1" applyFill="1" applyBorder="1" applyAlignment="1">
      <alignment horizontal="right"/>
    </xf>
    <xf numFmtId="9" fontId="0" fillId="3" borderId="43" xfId="2" applyFont="1" applyFill="1" applyBorder="1" applyAlignment="1">
      <alignment horizontal="center"/>
    </xf>
    <xf numFmtId="165" fontId="0" fillId="3" borderId="28" xfId="1" applyNumberFormat="1" applyFont="1" applyFill="1" applyBorder="1" applyAlignment="1">
      <alignment horizontal="center"/>
    </xf>
    <xf numFmtId="165" fontId="0" fillId="3" borderId="20" xfId="1" applyNumberFormat="1" applyFont="1" applyFill="1" applyBorder="1" applyAlignment="1">
      <alignment horizontal="center"/>
    </xf>
    <xf numFmtId="165" fontId="0" fillId="3" borderId="28" xfId="1" applyNumberFormat="1" applyFont="1" applyFill="1" applyBorder="1" applyAlignment="1">
      <alignment horizontal="right"/>
    </xf>
    <xf numFmtId="165" fontId="0" fillId="3" borderId="20" xfId="1" applyNumberFormat="1" applyFont="1" applyFill="1" applyBorder="1" applyAlignment="1">
      <alignment horizontal="right"/>
    </xf>
    <xf numFmtId="9" fontId="0" fillId="3" borderId="28" xfId="2" applyFont="1" applyFill="1" applyBorder="1" applyAlignment="1">
      <alignment horizontal="center"/>
    </xf>
    <xf numFmtId="9" fontId="0" fillId="3" borderId="20" xfId="2" applyFont="1" applyFill="1" applyBorder="1" applyAlignment="1">
      <alignment horizontal="center"/>
    </xf>
    <xf numFmtId="165" fontId="0" fillId="3" borderId="31" xfId="1" applyNumberFormat="1" applyFont="1" applyFill="1" applyBorder="1" applyAlignment="1">
      <alignment horizontal="center"/>
    </xf>
    <xf numFmtId="165" fontId="0" fillId="3" borderId="32" xfId="1" applyNumberFormat="1" applyFont="1" applyFill="1" applyBorder="1" applyAlignment="1">
      <alignment horizontal="center"/>
    </xf>
    <xf numFmtId="165" fontId="2" fillId="3" borderId="31" xfId="1" applyNumberFormat="1" applyFont="1" applyFill="1" applyBorder="1" applyAlignment="1">
      <alignment horizontal="center"/>
    </xf>
    <xf numFmtId="165" fontId="2" fillId="3" borderId="32" xfId="1" applyNumberFormat="1" applyFont="1" applyFill="1" applyBorder="1" applyAlignment="1">
      <alignment horizontal="center"/>
    </xf>
    <xf numFmtId="9" fontId="2" fillId="3" borderId="21" xfId="0" applyNumberFormat="1" applyFont="1" applyFill="1" applyBorder="1" applyAlignment="1">
      <alignment horizontal="center"/>
    </xf>
    <xf numFmtId="165" fontId="2" fillId="3" borderId="23" xfId="0" applyNumberFormat="1" applyFont="1" applyFill="1" applyBorder="1" applyAlignment="1">
      <alignment horizontal="center"/>
    </xf>
    <xf numFmtId="165" fontId="0" fillId="3" borderId="0" xfId="1"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32" xfId="0" applyFont="1" applyFill="1" applyBorder="1" applyAlignment="1">
      <alignment horizontal="center"/>
    </xf>
    <xf numFmtId="165" fontId="2" fillId="0" borderId="23" xfId="1" applyNumberFormat="1" applyFont="1" applyFill="1" applyBorder="1" applyAlignment="1">
      <alignment horizontal="center"/>
    </xf>
    <xf numFmtId="165" fontId="2" fillId="0" borderId="21" xfId="1" applyNumberFormat="1" applyFont="1" applyFill="1" applyBorder="1" applyAlignment="1">
      <alignment horizontal="center"/>
    </xf>
    <xf numFmtId="9" fontId="2" fillId="3" borderId="23" xfId="2" applyFont="1" applyFill="1" applyBorder="1" applyAlignment="1">
      <alignment horizontal="center"/>
    </xf>
    <xf numFmtId="9" fontId="2" fillId="3" borderId="21" xfId="2" applyFont="1" applyFill="1" applyBorder="1" applyAlignment="1">
      <alignment horizontal="center"/>
    </xf>
    <xf numFmtId="0" fontId="2" fillId="4" borderId="26" xfId="0" applyFont="1" applyFill="1" applyBorder="1" applyAlignment="1">
      <alignment horizontal="center"/>
    </xf>
    <xf numFmtId="0" fontId="2" fillId="4" borderId="20" xfId="0" applyFont="1" applyFill="1" applyBorder="1" applyAlignment="1">
      <alignment horizontal="center"/>
    </xf>
    <xf numFmtId="165" fontId="0" fillId="0" borderId="31" xfId="1" applyNumberFormat="1" applyFont="1" applyFill="1" applyBorder="1" applyAlignment="1">
      <alignment horizontal="center"/>
    </xf>
    <xf numFmtId="165" fontId="0" fillId="0" borderId="32" xfId="1" applyNumberFormat="1" applyFont="1" applyFill="1" applyBorder="1" applyAlignment="1">
      <alignment horizontal="center"/>
    </xf>
    <xf numFmtId="9" fontId="7" fillId="3" borderId="35" xfId="2" applyFont="1" applyFill="1" applyBorder="1" applyAlignment="1">
      <alignment horizontal="center"/>
    </xf>
    <xf numFmtId="9" fontId="7" fillId="3" borderId="39" xfId="2" applyFont="1" applyFill="1" applyBorder="1" applyAlignment="1">
      <alignment horizontal="center"/>
    </xf>
    <xf numFmtId="9" fontId="7" fillId="3" borderId="33" xfId="2" applyFont="1" applyFill="1" applyBorder="1" applyAlignment="1">
      <alignment horizontal="center"/>
    </xf>
    <xf numFmtId="10" fontId="7" fillId="3" borderId="35" xfId="2" applyNumberFormat="1" applyFont="1" applyFill="1" applyBorder="1" applyAlignment="1">
      <alignment horizontal="center"/>
    </xf>
    <xf numFmtId="10" fontId="7" fillId="3" borderId="39" xfId="2" applyNumberFormat="1" applyFont="1" applyFill="1" applyBorder="1" applyAlignment="1">
      <alignment horizontal="center"/>
    </xf>
    <xf numFmtId="10" fontId="7" fillId="3" borderId="33" xfId="2" applyNumberFormat="1" applyFont="1" applyFill="1" applyBorder="1" applyAlignment="1">
      <alignment horizontal="center"/>
    </xf>
    <xf numFmtId="10" fontId="7" fillId="3" borderId="40" xfId="2" applyNumberFormat="1" applyFont="1" applyFill="1" applyBorder="1" applyAlignment="1">
      <alignment horizontal="center"/>
    </xf>
    <xf numFmtId="9" fontId="7" fillId="3" borderId="23" xfId="2" applyFont="1" applyFill="1" applyBorder="1" applyAlignment="1">
      <alignment horizontal="center"/>
    </xf>
    <xf numFmtId="9" fontId="7" fillId="3" borderId="29" xfId="2" applyFont="1" applyFill="1" applyBorder="1" applyAlignment="1">
      <alignment horizontal="center"/>
    </xf>
    <xf numFmtId="9" fontId="7" fillId="3" borderId="21" xfId="2" applyFont="1" applyFill="1" applyBorder="1" applyAlignment="1">
      <alignment horizontal="center"/>
    </xf>
    <xf numFmtId="10" fontId="7" fillId="3" borderId="23" xfId="2" applyNumberFormat="1" applyFont="1" applyFill="1" applyBorder="1" applyAlignment="1">
      <alignment horizontal="center"/>
    </xf>
    <xf numFmtId="10" fontId="7" fillId="3" borderId="29" xfId="2" applyNumberFormat="1" applyFont="1" applyFill="1" applyBorder="1" applyAlignment="1">
      <alignment horizontal="center"/>
    </xf>
    <xf numFmtId="10" fontId="7" fillId="3" borderId="21" xfId="2" applyNumberFormat="1" applyFont="1" applyFill="1" applyBorder="1" applyAlignment="1">
      <alignment horizontal="center"/>
    </xf>
    <xf numFmtId="10" fontId="7" fillId="3" borderId="37" xfId="2" applyNumberFormat="1" applyFont="1" applyFill="1" applyBorder="1" applyAlignment="1">
      <alignment horizontal="center"/>
    </xf>
    <xf numFmtId="0" fontId="6" fillId="3" borderId="23" xfId="0" applyFont="1" applyFill="1" applyBorder="1" applyAlignment="1">
      <alignment horizontal="center"/>
    </xf>
    <xf numFmtId="0" fontId="6" fillId="3" borderId="29" xfId="0" applyFont="1" applyFill="1" applyBorder="1" applyAlignment="1">
      <alignment horizontal="center"/>
    </xf>
    <xf numFmtId="0" fontId="6" fillId="3" borderId="21" xfId="0" applyFont="1" applyFill="1" applyBorder="1" applyAlignment="1">
      <alignment horizontal="center"/>
    </xf>
    <xf numFmtId="2" fontId="7" fillId="3" borderId="23" xfId="0" applyNumberFormat="1" applyFont="1" applyFill="1" applyBorder="1" applyAlignment="1">
      <alignment horizontal="center"/>
    </xf>
    <xf numFmtId="2" fontId="7" fillId="3" borderId="29" xfId="0" applyNumberFormat="1" applyFont="1" applyFill="1" applyBorder="1" applyAlignment="1">
      <alignment horizontal="center"/>
    </xf>
    <xf numFmtId="2" fontId="7" fillId="3" borderId="37" xfId="0" applyNumberFormat="1" applyFont="1" applyFill="1" applyBorder="1" applyAlignment="1">
      <alignment horizontal="center"/>
    </xf>
    <xf numFmtId="9" fontId="6" fillId="3" borderId="23" xfId="0" applyNumberFormat="1" applyFont="1" applyFill="1" applyBorder="1" applyAlignment="1">
      <alignment horizontal="center"/>
    </xf>
    <xf numFmtId="10" fontId="7" fillId="3" borderId="23" xfId="0" applyNumberFormat="1" applyFont="1" applyFill="1" applyBorder="1" applyAlignment="1">
      <alignment horizontal="center"/>
    </xf>
    <xf numFmtId="0" fontId="7" fillId="3" borderId="29" xfId="0" applyFont="1" applyFill="1" applyBorder="1" applyAlignment="1">
      <alignment horizontal="center"/>
    </xf>
    <xf numFmtId="0" fontId="7" fillId="3" borderId="37" xfId="0" applyFont="1" applyFill="1" applyBorder="1" applyAlignment="1">
      <alignment horizontal="center"/>
    </xf>
    <xf numFmtId="10" fontId="7" fillId="3" borderId="29" xfId="0" applyNumberFormat="1" applyFont="1" applyFill="1" applyBorder="1" applyAlignment="1">
      <alignment horizontal="center"/>
    </xf>
    <xf numFmtId="10" fontId="7" fillId="3" borderId="37" xfId="0" applyNumberFormat="1" applyFont="1" applyFill="1" applyBorder="1" applyAlignment="1">
      <alignment horizontal="center"/>
    </xf>
    <xf numFmtId="165" fontId="7" fillId="3" borderId="31" xfId="1" applyNumberFormat="1" applyFont="1" applyFill="1" applyBorder="1" applyAlignment="1">
      <alignment horizontal="right"/>
    </xf>
    <xf numFmtId="165" fontId="7" fillId="3" borderId="19" xfId="1" applyNumberFormat="1" applyFont="1" applyFill="1" applyBorder="1" applyAlignment="1">
      <alignment horizontal="right"/>
    </xf>
    <xf numFmtId="165" fontId="7" fillId="3" borderId="45"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6" xfId="1" applyNumberFormat="1" applyFont="1" applyFill="1" applyBorder="1" applyAlignment="1">
      <alignment horizontal="right"/>
    </xf>
    <xf numFmtId="165" fontId="7" fillId="3" borderId="8" xfId="1" applyNumberFormat="1" applyFont="1" applyFill="1" applyBorder="1" applyAlignment="1">
      <alignment horizontal="right"/>
    </xf>
    <xf numFmtId="165" fontId="7" fillId="0" borderId="31" xfId="1" applyNumberFormat="1" applyFont="1" applyFill="1" applyBorder="1" applyAlignment="1">
      <alignment horizontal="right"/>
    </xf>
    <xf numFmtId="165" fontId="7" fillId="0" borderId="19"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26" xfId="1" applyNumberFormat="1" applyFont="1" applyFill="1" applyBorder="1" applyAlignment="1">
      <alignment horizontal="right"/>
    </xf>
    <xf numFmtId="165" fontId="7" fillId="3" borderId="20" xfId="1" applyNumberFormat="1" applyFont="1" applyFill="1" applyBorder="1" applyAlignment="1">
      <alignment horizontal="right"/>
    </xf>
    <xf numFmtId="165" fontId="7" fillId="3" borderId="42"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29" xfId="1" applyNumberFormat="1" applyFont="1" applyFill="1" applyBorder="1" applyAlignment="1">
      <alignment horizontal="right"/>
    </xf>
    <xf numFmtId="165" fontId="7" fillId="3" borderId="21" xfId="1" applyNumberFormat="1" applyFont="1" applyFill="1" applyBorder="1" applyAlignment="1">
      <alignment horizontal="right"/>
    </xf>
    <xf numFmtId="0" fontId="2" fillId="6" borderId="18" xfId="0" applyFont="1" applyFill="1" applyBorder="1" applyAlignment="1">
      <alignment horizontal="center"/>
    </xf>
    <xf numFmtId="0" fontId="2" fillId="6" borderId="19" xfId="0" applyFont="1" applyFill="1" applyBorder="1" applyAlignment="1">
      <alignment horizontal="center"/>
    </xf>
    <xf numFmtId="0" fontId="2" fillId="6" borderId="44" xfId="0" applyFont="1" applyFill="1" applyBorder="1" applyAlignment="1">
      <alignment horizontal="center"/>
    </xf>
    <xf numFmtId="165" fontId="7" fillId="3" borderId="39" xfId="1" applyNumberFormat="1" applyFont="1" applyFill="1" applyBorder="1" applyAlignment="1">
      <alignment horizontal="right"/>
    </xf>
    <xf numFmtId="165" fontId="7" fillId="3" borderId="40" xfId="1" applyNumberFormat="1" applyFont="1" applyFill="1" applyBorder="1" applyAlignment="1">
      <alignment horizontal="right"/>
    </xf>
    <xf numFmtId="165" fontId="7" fillId="3" borderId="37" xfId="1" applyNumberFormat="1" applyFont="1" applyFill="1" applyBorder="1" applyAlignment="1">
      <alignment horizontal="right"/>
    </xf>
    <xf numFmtId="165" fontId="7" fillId="0" borderId="43" xfId="1" applyNumberFormat="1" applyFont="1" applyFill="1" applyBorder="1" applyAlignment="1">
      <alignment horizontal="center"/>
    </xf>
    <xf numFmtId="165" fontId="7" fillId="0" borderId="0" xfId="1" applyNumberFormat="1" applyFont="1" applyFill="1" applyBorder="1" applyAlignment="1">
      <alignment horizontal="center"/>
    </xf>
    <xf numFmtId="165" fontId="7" fillId="0" borderId="26" xfId="1" applyNumberFormat="1" applyFont="1" applyFill="1" applyBorder="1" applyAlignment="1">
      <alignment horizontal="right"/>
    </xf>
    <xf numFmtId="165" fontId="7" fillId="0" borderId="42" xfId="1" applyNumberFormat="1" applyFont="1" applyFill="1" applyBorder="1" applyAlignment="1">
      <alignment horizontal="right"/>
    </xf>
    <xf numFmtId="165" fontId="7" fillId="0" borderId="43" xfId="1" applyNumberFormat="1" applyFont="1" applyFill="1" applyBorder="1" applyAlignment="1">
      <alignment horizontal="right"/>
    </xf>
    <xf numFmtId="165" fontId="7" fillId="0" borderId="0" xfId="1" applyNumberFormat="1" applyFont="1" applyFill="1" applyBorder="1" applyAlignment="1">
      <alignment horizontal="right"/>
    </xf>
    <xf numFmtId="14" fontId="5" fillId="3" borderId="29" xfId="0" applyNumberFormat="1" applyFont="1" applyFill="1" applyBorder="1" applyAlignment="1">
      <alignment horizontal="right" wrapText="1"/>
    </xf>
    <xf numFmtId="14" fontId="5" fillId="3" borderId="37" xfId="0" applyNumberFormat="1" applyFont="1" applyFill="1" applyBorder="1" applyAlignment="1">
      <alignment horizontal="right" wrapText="1"/>
    </xf>
    <xf numFmtId="0" fontId="0" fillId="3" borderId="22" xfId="0" applyFill="1" applyBorder="1" applyAlignment="1">
      <alignment horizontal="right"/>
    </xf>
    <xf numFmtId="0" fontId="0" fillId="3" borderId="24" xfId="0" applyFill="1" applyBorder="1" applyAlignment="1">
      <alignment horizontal="right"/>
    </xf>
    <xf numFmtId="14" fontId="5" fillId="0" borderId="22" xfId="0" applyNumberFormat="1" applyFont="1" applyBorder="1" applyAlignment="1">
      <alignment horizontal="right" wrapText="1"/>
    </xf>
    <xf numFmtId="14" fontId="5" fillId="0" borderId="24" xfId="0" applyNumberFormat="1" applyFont="1" applyBorder="1" applyAlignment="1">
      <alignment horizontal="right" wrapText="1"/>
    </xf>
    <xf numFmtId="166" fontId="5" fillId="3" borderId="22" xfId="0" applyNumberFormat="1" applyFont="1" applyFill="1" applyBorder="1" applyAlignment="1">
      <alignment horizontal="right" wrapText="1"/>
    </xf>
    <xf numFmtId="166" fontId="5" fillId="3" borderId="24" xfId="0" applyNumberFormat="1" applyFont="1" applyFill="1" applyBorder="1" applyAlignment="1">
      <alignment horizontal="right" wrapText="1"/>
    </xf>
    <xf numFmtId="14" fontId="5" fillId="0" borderId="15" xfId="0" applyNumberFormat="1" applyFont="1" applyBorder="1" applyAlignment="1">
      <alignment horizontal="right" wrapText="1"/>
    </xf>
    <xf numFmtId="14" fontId="5" fillId="0" borderId="17" xfId="0" applyNumberFormat="1" applyFont="1" applyBorder="1" applyAlignment="1">
      <alignment horizontal="righ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38B45ADF-039B-4D8D-85AE-1758D771E564}"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38B45ADF-039B-4D8D-85AE-1758D771E564}" id="{72FF50C3-17D0-4907-88C3-77B370574BFA}">
    <text>1.141.13	Administrator Report Date means the fifteenth twelfth day after each Determination Date, or if any such day is not a Business Day, then the immediately succeeding day that is a Business Day;</text>
  </threadedComment>
  <threadedComment ref="C9" dT="2020-07-10T12:16:41.19" personId="{38B45ADF-039B-4D8D-85AE-1758D771E564}" id="{2413CD9F-C3B2-4179-96F8-B832A8CB890C}">
    <text>1.1021.100	Determination Date means the last Business Day of [December, March, June and September], save for the first Determination Date which will be the date specified in the APS;</text>
  </threadedComment>
  <threadedComment ref="C12" dT="2020-07-10T12:17:28.82" personId="{38B45ADF-039B-4D8D-85AE-1758D771E564}" id="{0C7EEA8A-F979-44B2-85B6-D7A68C0AFC92}">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38B45ADF-039B-4D8D-85AE-1758D771E564}" id="{116A85D8-DAE6-41EF-9BB4-C06B09D99FED}">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38B45ADF-039B-4D8D-85AE-1758D771E564}" id="{254ED955-3705-4A15-BB1E-80771EBCABE3}">
    <text>1.2201.211	Prepayments means principal repayments received under a Loan Agreement in excess of the minimum Instalments which a Borrower is obliged to pay;</text>
  </threadedComment>
  <threadedComment ref="C72" dT="2020-07-10T12:32:40.90" personId="{38B45ADF-039B-4D8D-85AE-1758D771E564}" id="{79A28BB5-49D8-4F47-B88F-7CF6EB209FA2}">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38B45ADF-039B-4D8D-85AE-1758D771E564}" id="{B07A1D99-1501-4C20-9952-8774495CEE21}">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38B45ADF-039B-4D8D-85AE-1758D771E564}" id="{FAC5E5D2-E724-467D-832A-8B86A0C3D979}">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38B45ADF-039B-4D8D-85AE-1758D771E564}" id="{B5D4F76A-7FEB-460F-876E-2BA299B79AD2}">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38B45ADF-039B-4D8D-85AE-1758D771E564}" id="{8C5B814A-C8D0-4A4E-864D-9FE528E40DB5}">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38B45ADF-039B-4D8D-85AE-1758D771E564}" id="{D5812815-1A71-438A-97F8-C2CD948020A4}">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38B45ADF-039B-4D8D-85AE-1758D771E564}" id="{70A7BF7D-7A49-4A94-B8CA-27438911B166}">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38B45ADF-039B-4D8D-85AE-1758D771E564}" id="{96EBA43F-F811-4C9D-86A5-D3C3EF5C2AC8}">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38B45ADF-039B-4D8D-85AE-1758D771E564}" id="{75AA3329-999D-45E2-B561-FB52FFCFF9C6}">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38B45ADF-039B-4D8D-85AE-1758D771E564}" id="{54EE241B-F26F-44BA-825A-4B952163F736}">
    <text>1.1	first, to pay or provide for the Issuer’s liability or potential liability for Tax;</text>
  </threadedComment>
  <threadedComment ref="C140" dT="2020-07-01T09:26:57.34" personId="{38B45ADF-039B-4D8D-85AE-1758D771E564}" id="{AA3FE785-ED00-4674-AE03-8212CE508C09}">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38B45ADF-039B-4D8D-85AE-1758D771E564}" id="{7B34BB3E-F243-49DE-9F2D-E1F5AD13C805}">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38B45ADF-039B-4D8D-85AE-1758D771E564}" id="{4A7E9101-E2C0-4B99-840E-7C49E480A321}">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38B45ADF-039B-4D8D-85AE-1758D771E564}" id="{56547B5B-A0CE-404C-A1D6-29B128D8EAF7}">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38B45ADF-039B-4D8D-85AE-1758D771E564}" id="{AC1D6D00-2255-4578-BE9E-9C81D9A2B9F2}">
    <text>1.6	sixth, to pay all amounts due and payable under the Liquidity Facility other than in respect of principal;</text>
  </threadedComment>
  <threadedComment ref="C152" dT="2020-07-01T09:28:38.95" personId="{38B45ADF-039B-4D8D-85AE-1758D771E564}" id="{20665945-142C-4A00-9D7D-3BB18B687F86}">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38B45ADF-039B-4D8D-85AE-1758D771E564}" id="{FC046F79-F572-4756-8DFF-E4815123D88C}">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38B45ADF-039B-4D8D-85AE-1758D771E564}" id="{11645784-1225-46D0-9F8C-059145B800DB}">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38B45ADF-039B-4D8D-85AE-1758D771E564}" id="{EDDAF214-D3A7-4A6F-A61F-C090462D6C86}">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38B45ADF-039B-4D8D-85AE-1758D771E564}" id="{B4EA8898-45FA-4FA0-8871-236102AD1529}">
    <text>1.11	eleventh, to repay all principal amounts outstanding under the Liquidity Facility as at the immediately preceding Determination Date up to an amount equal to the Potential Redemption Amount;</text>
  </threadedComment>
  <threadedComment ref="C160" dT="2020-07-01T09:30:54.67" personId="{38B45ADF-039B-4D8D-85AE-1758D771E564}" id="{9A279718-F267-4C37-B1D9-F6D55252A24C}">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38B45ADF-039B-4D8D-85AE-1758D771E564}" id="{26BB1CD5-695D-4126-A724-354595D0C81C}">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38B45ADF-039B-4D8D-85AE-1758D771E564}" id="{607DE545-97E6-4CE8-B73C-01FEB5A44AAF}">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38B45ADF-039B-4D8D-85AE-1758D771E564}" id="{3FD8B9B2-7EC6-47FB-95A8-E01C672245DD}">
    <text>1.16	sixteenth, to credit the Arrears Reserve up to the Arrears Reserve Required Amount;</text>
  </threadedComment>
  <threadedComment ref="C170" dT="2020-07-01T10:05:05.09" personId="{38B45ADF-039B-4D8D-85AE-1758D771E564}" id="{AC6BC1ED-9A69-4FF0-8652-EE903EDD24C5}">
    <text>1.17	seventeenth, if a Class B Interest Deferral Event has occurred on or prior to such Interest Payment Date, to pay interest due and payable in respect of the Class B Notes;</text>
  </threadedComment>
  <threadedComment ref="C171" dT="2020-07-01T12:04:10.91" personId="{38B45ADF-039B-4D8D-85AE-1758D771E564}" id="{52C65E7C-4033-4C40-8E96-ED26E6BF36EB}">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38B45ADF-039B-4D8D-85AE-1758D771E564}" id="{185110A3-2BB2-4B45-9BE3-9CE3655D913D}">
    <text>1.16	sixteenth, to credit the Arrears Reserve up to the Arrears Reserve Required Amount;</text>
  </threadedComment>
  <threadedComment ref="C175" dT="2020-07-01T12:05:33.95" personId="{38B45ADF-039B-4D8D-85AE-1758D771E564}" id="{1B3F972A-C51A-4C02-B3E4-91C7E2C374D5}">
    <text>1.19	nineteenth, if a Class C Interest Deferral Event has occurred on or prior to such Interest Payment Date, to pay interest due and payable in respect of the Class C Notes;</text>
  </threadedComment>
  <threadedComment ref="C176" dT="2020-07-01T12:06:45.00" personId="{38B45ADF-039B-4D8D-85AE-1758D771E564}" id="{E9A1F53F-504F-4207-AEF3-4A3B50B96491}">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38B45ADF-039B-4D8D-85AE-1758D771E564}" id="{0011A3C8-0788-4A04-ACBC-DB7EA7B0544B}">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38B45ADF-039B-4D8D-85AE-1758D771E564}" id="{A5E38B0C-C169-4013-A14C-091738084D90}">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38B45ADF-039B-4D8D-85AE-1758D771E564}" id="{9CE39A51-58E1-4CB6-9EA6-4BA99330062B}">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38B45ADF-039B-4D8D-85AE-1758D771E564}" id="{0728CC68-3D52-422A-8A4B-ACAD487AC1F5}">
    <text>1.24	twenty-forth, to pay amounts due and payable in respect of the Subordinated Loan;</text>
  </threadedComment>
  <threadedComment ref="C185" dT="2020-07-01T12:53:16.85" personId="{38B45ADF-039B-4D8D-85AE-1758D771E564}" id="{02D8BBB6-FC73-4E03-8CE4-41196A8B0386}">
    <text>1.25	twenty-fifth, to pay or provide for the dividend due and payable to the Preference Shareholder, net of Taxes; and</text>
  </threadedComment>
  <threadedComment ref="C186" dT="2020-07-01T12:53:33.02" personId="{38B45ADF-039B-4D8D-85AE-1758D771E564}" id="{4A96C06F-5F08-4961-9BA9-F54574955F9A}">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F2C8-DE92-4756-B979-F562E17C81C2}">
  <dimension ref="B1:XFD241"/>
  <sheetViews>
    <sheetView showGridLines="0" topLeftCell="C8" zoomScale="90" zoomScaleNormal="90" workbookViewId="0">
      <selection activeCell="C8" sqref="C8"/>
    </sheetView>
  </sheetViews>
  <sheetFormatPr defaultColWidth="9.109375" defaultRowHeight="14.4"/>
  <cols>
    <col min="1" max="1" width="9.109375" style="1"/>
    <col min="2" max="2" width="3.44140625" style="1" customWidth="1"/>
    <col min="3" max="3" width="39.109375" style="1" customWidth="1"/>
    <col min="4" max="4" width="11.88671875" style="1" bestFit="1" customWidth="1"/>
    <col min="5" max="5" width="11.44140625" style="1" customWidth="1"/>
    <col min="6" max="6" width="9.109375" style="1"/>
    <col min="7" max="7" width="15.44140625" style="1" customWidth="1"/>
    <col min="8" max="8" width="16" style="1" customWidth="1"/>
    <col min="9" max="10" width="16.109375" style="1" customWidth="1"/>
    <col min="11" max="15" width="18.109375" style="1" customWidth="1"/>
    <col min="16" max="18" width="15.6640625" style="1" customWidth="1"/>
    <col min="19" max="19" width="17.6640625" style="1" bestFit="1" customWidth="1"/>
    <col min="20" max="21" width="17.6640625" style="1" customWidth="1"/>
    <col min="22" max="22" width="17.33203125" style="1" customWidth="1"/>
    <col min="23" max="23" width="4" style="1" customWidth="1"/>
    <col min="24" max="24" width="17.6640625" style="1" customWidth="1"/>
    <col min="25" max="25" width="15.6640625" style="1" bestFit="1" customWidth="1"/>
    <col min="26" max="26" width="14" style="1" customWidth="1"/>
    <col min="27" max="27" width="14.33203125" style="1" hidden="1" customWidth="1"/>
    <col min="28" max="28" width="13.88671875" style="1" bestFit="1" customWidth="1"/>
    <col min="29" max="29" width="15" style="1" bestFit="1" customWidth="1"/>
    <col min="30" max="30" width="9.109375" style="1"/>
    <col min="31" max="31" width="15.6640625" style="1" bestFit="1" customWidth="1"/>
    <col min="32" max="32" width="17.33203125" style="1" bestFit="1" customWidth="1"/>
    <col min="33" max="16383" width="9.109375" style="1"/>
    <col min="16384" max="16384" width="11.6640625" style="1" bestFit="1" customWidth="1"/>
  </cols>
  <sheetData>
    <row r="1" spans="2:23 16384:16384" ht="15" thickBot="1">
      <c r="XFD1" s="2">
        <v>604861.42000000004</v>
      </c>
    </row>
    <row r="2" spans="2:23 16384:16384" ht="15" thickBot="1">
      <c r="B2" s="3"/>
      <c r="C2" s="4"/>
      <c r="D2" s="4"/>
      <c r="E2" s="4"/>
      <c r="F2" s="4"/>
      <c r="G2" s="4"/>
      <c r="H2" s="4"/>
      <c r="I2" s="4"/>
      <c r="J2" s="4"/>
      <c r="K2" s="4"/>
      <c r="L2" s="4"/>
      <c r="M2" s="4"/>
      <c r="N2" s="4"/>
      <c r="O2" s="4"/>
      <c r="P2" s="4"/>
      <c r="Q2" s="4"/>
      <c r="R2" s="4"/>
      <c r="S2" s="4"/>
      <c r="T2" s="4"/>
      <c r="U2" s="4"/>
      <c r="V2" s="4"/>
      <c r="W2" s="5"/>
      <c r="XFD2" s="2">
        <v>601507.42000000004</v>
      </c>
    </row>
    <row r="3" spans="2:23 16384:16384" ht="20.25" customHeight="1">
      <c r="B3" s="6"/>
      <c r="C3" s="429" t="s">
        <v>0</v>
      </c>
      <c r="D3" s="430"/>
      <c r="E3" s="430"/>
      <c r="F3" s="430"/>
      <c r="G3" s="430"/>
      <c r="H3" s="430"/>
      <c r="I3" s="430"/>
      <c r="J3" s="430"/>
      <c r="K3" s="430"/>
      <c r="L3" s="430"/>
      <c r="M3" s="430"/>
      <c r="N3" s="430"/>
      <c r="O3" s="430"/>
      <c r="P3" s="430"/>
      <c r="Q3" s="430"/>
      <c r="R3" s="430"/>
      <c r="S3" s="430"/>
      <c r="T3" s="430"/>
      <c r="U3" s="430"/>
      <c r="V3" s="431"/>
      <c r="W3" s="7"/>
    </row>
    <row r="4" spans="2:23 16384:16384" ht="20.25" customHeight="1" thickBot="1">
      <c r="B4" s="6"/>
      <c r="C4" s="432"/>
      <c r="D4" s="433"/>
      <c r="E4" s="433"/>
      <c r="F4" s="433"/>
      <c r="G4" s="433"/>
      <c r="H4" s="433"/>
      <c r="I4" s="433"/>
      <c r="J4" s="433"/>
      <c r="K4" s="433"/>
      <c r="L4" s="433"/>
      <c r="M4" s="433"/>
      <c r="N4" s="433"/>
      <c r="O4" s="433"/>
      <c r="P4" s="433"/>
      <c r="Q4" s="433"/>
      <c r="R4" s="433"/>
      <c r="S4" s="433"/>
      <c r="T4" s="433"/>
      <c r="U4" s="433"/>
      <c r="V4" s="434"/>
      <c r="W4" s="7"/>
      <c r="XFD4" s="8"/>
    </row>
    <row r="5" spans="2:23 16384:16384" ht="15" thickBot="1">
      <c r="B5" s="6"/>
      <c r="C5" s="9"/>
      <c r="D5" s="9"/>
      <c r="E5" s="9"/>
      <c r="F5" s="9"/>
      <c r="G5" s="9"/>
      <c r="H5" s="9"/>
      <c r="I5" s="9"/>
      <c r="J5" s="9"/>
      <c r="K5" s="9"/>
      <c r="L5" s="9"/>
      <c r="M5" s="9"/>
      <c r="N5" s="9"/>
      <c r="O5" s="9"/>
      <c r="P5" s="9"/>
      <c r="Q5" s="9"/>
      <c r="R5" s="9"/>
      <c r="S5" s="9"/>
      <c r="T5" s="9"/>
      <c r="U5" s="9"/>
      <c r="V5" s="9"/>
      <c r="W5" s="7"/>
    </row>
    <row r="6" spans="2:23 16384:16384" ht="15" thickBot="1">
      <c r="B6" s="6"/>
      <c r="C6" s="435" t="s">
        <v>1</v>
      </c>
      <c r="D6" s="436"/>
      <c r="E6" s="436"/>
      <c r="F6" s="436"/>
      <c r="G6" s="436"/>
      <c r="H6" s="436"/>
      <c r="I6" s="436"/>
      <c r="J6" s="436"/>
      <c r="K6" s="436"/>
      <c r="L6" s="436"/>
      <c r="M6" s="436"/>
      <c r="N6" s="436"/>
      <c r="O6" s="436"/>
      <c r="P6" s="436"/>
      <c r="Q6" s="436"/>
      <c r="R6" s="436"/>
      <c r="S6" s="436"/>
      <c r="T6" s="436"/>
      <c r="U6" s="436"/>
      <c r="V6" s="437"/>
      <c r="W6" s="7"/>
    </row>
    <row r="7" spans="2:23 16384:16384" ht="15" thickBot="1">
      <c r="B7" s="6"/>
      <c r="C7" s="9"/>
      <c r="D7" s="9"/>
      <c r="E7" s="9"/>
      <c r="F7" s="9"/>
      <c r="G7" s="9"/>
      <c r="H7" s="9"/>
      <c r="I7" s="9"/>
      <c r="J7" s="9"/>
      <c r="K7" s="9"/>
      <c r="L7" s="9"/>
      <c r="M7" s="9"/>
      <c r="N7" s="9"/>
      <c r="O7" s="9"/>
      <c r="P7" s="9"/>
      <c r="Q7" s="9"/>
      <c r="R7" s="9"/>
      <c r="S7" s="9"/>
      <c r="T7" s="9"/>
      <c r="U7" s="9"/>
      <c r="V7" s="9"/>
      <c r="W7" s="7"/>
    </row>
    <row r="8" spans="2:23 16384:16384">
      <c r="B8" s="6"/>
      <c r="C8" s="10" t="s">
        <v>2</v>
      </c>
      <c r="D8" s="11"/>
      <c r="E8" s="11"/>
      <c r="F8" s="11"/>
      <c r="G8" s="11"/>
      <c r="H8" s="11"/>
      <c r="I8" s="11"/>
      <c r="J8" s="12"/>
      <c r="K8" s="438">
        <f>K9+12</f>
        <v>45334</v>
      </c>
      <c r="L8" s="439"/>
      <c r="M8" s="439"/>
      <c r="N8" s="439"/>
      <c r="O8" s="439"/>
      <c r="P8" s="439"/>
      <c r="Q8" s="439"/>
      <c r="R8" s="439"/>
      <c r="S8" s="439"/>
      <c r="T8" s="440"/>
      <c r="U8" s="440"/>
      <c r="V8" s="441"/>
      <c r="W8" s="7"/>
    </row>
    <row r="9" spans="2:23 16384:16384">
      <c r="B9" s="6"/>
      <c r="C9" s="13" t="s">
        <v>3</v>
      </c>
      <c r="D9" s="14"/>
      <c r="E9" s="14"/>
      <c r="F9" s="14"/>
      <c r="G9" s="14"/>
      <c r="H9" s="14"/>
      <c r="I9" s="14"/>
      <c r="J9" s="15"/>
      <c r="K9" s="419">
        <f>'Servicer Report'!J9</f>
        <v>45322</v>
      </c>
      <c r="L9" s="420"/>
      <c r="M9" s="420"/>
      <c r="N9" s="420"/>
      <c r="O9" s="420"/>
      <c r="P9" s="420"/>
      <c r="Q9" s="420"/>
      <c r="R9" s="420"/>
      <c r="S9" s="420"/>
      <c r="T9" s="421"/>
      <c r="U9" s="421"/>
      <c r="V9" s="422"/>
      <c r="W9" s="7"/>
    </row>
    <row r="10" spans="2:23 16384:16384">
      <c r="B10" s="6"/>
      <c r="C10" s="423" t="s">
        <v>4</v>
      </c>
      <c r="D10" s="424"/>
      <c r="E10" s="442"/>
      <c r="F10" s="17" t="s">
        <v>5</v>
      </c>
      <c r="G10" s="14"/>
      <c r="H10" s="14"/>
      <c r="I10" s="14"/>
      <c r="J10" s="15"/>
      <c r="K10" s="419">
        <f>'Servicer Report'!J10</f>
        <v>45230</v>
      </c>
      <c r="L10" s="420"/>
      <c r="M10" s="420"/>
      <c r="N10" s="420"/>
      <c r="O10" s="420"/>
      <c r="P10" s="420"/>
      <c r="Q10" s="420"/>
      <c r="R10" s="420"/>
      <c r="S10" s="420"/>
      <c r="T10" s="421"/>
      <c r="U10" s="421"/>
      <c r="V10" s="422"/>
      <c r="W10" s="7"/>
    </row>
    <row r="11" spans="2:23 16384:16384" ht="15" customHeight="1">
      <c r="B11" s="6"/>
      <c r="C11" s="426"/>
      <c r="D11" s="427"/>
      <c r="E11" s="425"/>
      <c r="F11" s="20" t="s">
        <v>6</v>
      </c>
      <c r="G11" s="14"/>
      <c r="H11" s="14"/>
      <c r="I11" s="14"/>
      <c r="J11" s="15"/>
      <c r="K11" s="419">
        <f>'Servicer Report'!J11</f>
        <v>45322</v>
      </c>
      <c r="L11" s="420"/>
      <c r="M11" s="420"/>
      <c r="N11" s="420"/>
      <c r="O11" s="420"/>
      <c r="P11" s="420"/>
      <c r="Q11" s="420"/>
      <c r="R11" s="420"/>
      <c r="S11" s="420"/>
      <c r="T11" s="421"/>
      <c r="U11" s="421"/>
      <c r="V11" s="422"/>
      <c r="W11" s="7"/>
    </row>
    <row r="12" spans="2:23 16384:16384">
      <c r="B12" s="6"/>
      <c r="C12" s="18" t="s">
        <v>7</v>
      </c>
      <c r="D12" s="21"/>
      <c r="E12" s="22"/>
      <c r="F12" s="23"/>
      <c r="G12" s="14"/>
      <c r="H12" s="14"/>
      <c r="I12" s="14"/>
      <c r="J12" s="15"/>
      <c r="K12" s="415">
        <f>K11-K10</f>
        <v>92</v>
      </c>
      <c r="L12" s="416"/>
      <c r="M12" s="416"/>
      <c r="N12" s="416"/>
      <c r="O12" s="416"/>
      <c r="P12" s="416"/>
      <c r="Q12" s="416"/>
      <c r="R12" s="416"/>
      <c r="S12" s="416"/>
      <c r="T12" s="417"/>
      <c r="U12" s="417"/>
      <c r="V12" s="418"/>
      <c r="W12" s="7"/>
    </row>
    <row r="13" spans="2:23 16384:16384">
      <c r="B13" s="6"/>
      <c r="C13" s="24" t="s">
        <v>8</v>
      </c>
      <c r="D13" s="23"/>
      <c r="E13" s="23"/>
      <c r="F13" s="23"/>
      <c r="G13" s="23"/>
      <c r="H13" s="23"/>
      <c r="I13" s="23"/>
      <c r="J13" s="15"/>
      <c r="K13" s="419">
        <v>45337</v>
      </c>
      <c r="L13" s="420"/>
      <c r="M13" s="420"/>
      <c r="N13" s="420"/>
      <c r="O13" s="420"/>
      <c r="P13" s="420"/>
      <c r="Q13" s="420"/>
      <c r="R13" s="420"/>
      <c r="S13" s="420"/>
      <c r="T13" s="421"/>
      <c r="U13" s="421"/>
      <c r="V13" s="422"/>
      <c r="W13" s="7"/>
    </row>
    <row r="14" spans="2:23 16384:16384">
      <c r="B14" s="6"/>
      <c r="C14" s="423" t="s">
        <v>9</v>
      </c>
      <c r="D14" s="424"/>
      <c r="E14" s="425"/>
      <c r="F14" s="25" t="s">
        <v>10</v>
      </c>
      <c r="G14" s="23"/>
      <c r="H14" s="23"/>
      <c r="I14" s="23"/>
      <c r="J14" s="15"/>
      <c r="K14" s="419">
        <v>45245</v>
      </c>
      <c r="L14" s="420"/>
      <c r="M14" s="420"/>
      <c r="N14" s="420"/>
      <c r="O14" s="420"/>
      <c r="P14" s="420"/>
      <c r="Q14" s="420"/>
      <c r="R14" s="420"/>
      <c r="S14" s="420"/>
      <c r="T14" s="421"/>
      <c r="U14" s="421"/>
      <c r="V14" s="422"/>
      <c r="W14" s="7"/>
    </row>
    <row r="15" spans="2:23 16384:16384" ht="15" customHeight="1">
      <c r="B15" s="6"/>
      <c r="C15" s="426"/>
      <c r="D15" s="427"/>
      <c r="E15" s="428"/>
      <c r="F15" s="17" t="s">
        <v>11</v>
      </c>
      <c r="G15" s="23"/>
      <c r="H15" s="23"/>
      <c r="I15" s="23"/>
      <c r="J15" s="15"/>
      <c r="K15" s="419">
        <v>45337</v>
      </c>
      <c r="L15" s="420"/>
      <c r="M15" s="420"/>
      <c r="N15" s="420"/>
      <c r="O15" s="420"/>
      <c r="P15" s="420"/>
      <c r="Q15" s="420"/>
      <c r="R15" s="420"/>
      <c r="S15" s="420"/>
      <c r="T15" s="421"/>
      <c r="U15" s="421"/>
      <c r="V15" s="422"/>
      <c r="W15" s="7"/>
    </row>
    <row r="16" spans="2:23 16384:16384">
      <c r="B16" s="6"/>
      <c r="C16" s="18" t="s">
        <v>12</v>
      </c>
      <c r="D16" s="19"/>
      <c r="E16" s="19"/>
      <c r="F16" s="23"/>
      <c r="G16" s="23"/>
      <c r="H16" s="23"/>
      <c r="I16" s="23"/>
      <c r="J16" s="15"/>
      <c r="K16" s="415">
        <f>K15-K14</f>
        <v>92</v>
      </c>
      <c r="L16" s="416"/>
      <c r="M16" s="416"/>
      <c r="N16" s="416"/>
      <c r="O16" s="416"/>
      <c r="P16" s="416"/>
      <c r="Q16" s="416"/>
      <c r="R16" s="416"/>
      <c r="S16" s="416"/>
      <c r="T16" s="417"/>
      <c r="U16" s="417"/>
      <c r="V16" s="418"/>
      <c r="W16" s="7"/>
    </row>
    <row r="17" spans="2:25">
      <c r="B17" s="6"/>
      <c r="C17" s="26" t="s">
        <v>13</v>
      </c>
      <c r="D17" s="22"/>
      <c r="E17" s="22"/>
      <c r="F17" s="23"/>
      <c r="G17" s="23"/>
      <c r="H17" s="23"/>
      <c r="I17" s="23"/>
      <c r="J17" s="15"/>
      <c r="K17" s="405">
        <f>SUM(G31:V31)</f>
        <v>1637000000</v>
      </c>
      <c r="L17" s="406"/>
      <c r="M17" s="406"/>
      <c r="N17" s="406"/>
      <c r="O17" s="406"/>
      <c r="P17" s="406"/>
      <c r="Q17" s="406"/>
      <c r="R17" s="406"/>
      <c r="S17" s="406"/>
      <c r="T17" s="407"/>
      <c r="U17" s="407"/>
      <c r="V17" s="408"/>
      <c r="W17" s="7"/>
    </row>
    <row r="18" spans="2:25">
      <c r="B18" s="6"/>
      <c r="C18" s="26" t="s">
        <v>14</v>
      </c>
      <c r="D18" s="22"/>
      <c r="E18" s="22"/>
      <c r="F18" s="23"/>
      <c r="G18" s="23"/>
      <c r="H18" s="23"/>
      <c r="I18" s="23"/>
      <c r="J18" s="15"/>
      <c r="K18" s="405">
        <f>SUM(G35:V35)</f>
        <v>1450153822.3909116</v>
      </c>
      <c r="L18" s="406"/>
      <c r="M18" s="406"/>
      <c r="N18" s="406"/>
      <c r="O18" s="406"/>
      <c r="P18" s="406"/>
      <c r="Q18" s="406"/>
      <c r="R18" s="406"/>
      <c r="S18" s="406"/>
      <c r="T18" s="407"/>
      <c r="U18" s="407"/>
      <c r="V18" s="408"/>
      <c r="W18" s="7"/>
      <c r="Y18" s="27"/>
    </row>
    <row r="19" spans="2:25">
      <c r="B19" s="6"/>
      <c r="C19" s="18" t="s">
        <v>15</v>
      </c>
      <c r="D19" s="19"/>
      <c r="E19" s="19"/>
      <c r="F19" s="14"/>
      <c r="G19" s="14"/>
      <c r="H19" s="14"/>
      <c r="I19" s="14"/>
      <c r="J19" s="15"/>
      <c r="K19" s="405">
        <f>SUM(G40:V40)</f>
        <v>1438223620.3909116</v>
      </c>
      <c r="L19" s="406"/>
      <c r="M19" s="406"/>
      <c r="N19" s="406"/>
      <c r="O19" s="406"/>
      <c r="P19" s="406"/>
      <c r="Q19" s="406"/>
      <c r="R19" s="406"/>
      <c r="S19" s="406"/>
      <c r="T19" s="407"/>
      <c r="U19" s="407"/>
      <c r="V19" s="408"/>
      <c r="W19" s="7"/>
    </row>
    <row r="20" spans="2:25" ht="15" thickBot="1">
      <c r="B20" s="6"/>
      <c r="C20" s="28" t="s">
        <v>16</v>
      </c>
      <c r="D20" s="29"/>
      <c r="E20" s="29"/>
      <c r="F20" s="29"/>
      <c r="G20" s="29"/>
      <c r="H20" s="29"/>
      <c r="I20" s="29"/>
      <c r="J20" s="30"/>
      <c r="K20" s="409" t="s">
        <v>17</v>
      </c>
      <c r="L20" s="409"/>
      <c r="M20" s="409"/>
      <c r="N20" s="409"/>
      <c r="O20" s="409"/>
      <c r="P20" s="409"/>
      <c r="Q20" s="409"/>
      <c r="R20" s="409"/>
      <c r="S20" s="409"/>
      <c r="T20" s="410"/>
      <c r="U20" s="410"/>
      <c r="V20" s="411"/>
      <c r="W20" s="7"/>
    </row>
    <row r="21" spans="2:25" ht="15" thickBot="1">
      <c r="B21" s="6"/>
      <c r="C21" s="9"/>
      <c r="D21" s="9"/>
      <c r="E21" s="9"/>
      <c r="F21" s="9"/>
      <c r="G21" s="9"/>
      <c r="H21" s="9"/>
      <c r="I21" s="9"/>
      <c r="J21" s="9"/>
      <c r="K21" s="9"/>
      <c r="L21" s="9"/>
      <c r="M21" s="9"/>
      <c r="N21" s="9"/>
      <c r="O21" s="9"/>
      <c r="P21" s="9"/>
      <c r="Q21" s="9"/>
      <c r="R21" s="9"/>
      <c r="S21" s="9"/>
      <c r="T21" s="9"/>
      <c r="U21" s="9"/>
      <c r="V21" s="9"/>
      <c r="W21" s="7"/>
    </row>
    <row r="22" spans="2:25">
      <c r="B22" s="6"/>
      <c r="C22" s="412" t="s">
        <v>18</v>
      </c>
      <c r="D22" s="413"/>
      <c r="E22" s="413"/>
      <c r="F22" s="413"/>
      <c r="G22" s="413"/>
      <c r="H22" s="413"/>
      <c r="I22" s="413"/>
      <c r="J22" s="413"/>
      <c r="K22" s="413"/>
      <c r="L22" s="413"/>
      <c r="M22" s="413"/>
      <c r="N22" s="413"/>
      <c r="O22" s="413"/>
      <c r="P22" s="413"/>
      <c r="Q22" s="413"/>
      <c r="R22" s="413"/>
      <c r="S22" s="413"/>
      <c r="T22" s="413"/>
      <c r="U22" s="413"/>
      <c r="V22" s="414"/>
      <c r="W22" s="7"/>
    </row>
    <row r="23" spans="2:25">
      <c r="B23" s="6"/>
      <c r="C23" s="24" t="s">
        <v>19</v>
      </c>
      <c r="D23" s="31"/>
      <c r="E23" s="31"/>
      <c r="F23" s="31"/>
      <c r="G23" s="17" t="s">
        <v>20</v>
      </c>
      <c r="H23" s="17" t="s">
        <v>21</v>
      </c>
      <c r="I23" s="17" t="s">
        <v>22</v>
      </c>
      <c r="J23" s="17" t="s">
        <v>23</v>
      </c>
      <c r="K23" s="17" t="s">
        <v>24</v>
      </c>
      <c r="L23" s="17" t="s">
        <v>25</v>
      </c>
      <c r="M23" s="17" t="s">
        <v>26</v>
      </c>
      <c r="N23" s="17" t="s">
        <v>27</v>
      </c>
      <c r="O23" s="17" t="s">
        <v>28</v>
      </c>
      <c r="P23" s="17" t="s">
        <v>29</v>
      </c>
      <c r="Q23" s="17" t="s">
        <v>29</v>
      </c>
      <c r="R23" s="17" t="s">
        <v>29</v>
      </c>
      <c r="S23" s="17" t="s">
        <v>30</v>
      </c>
      <c r="T23" s="32" t="s">
        <v>30</v>
      </c>
      <c r="U23" s="32" t="s">
        <v>30</v>
      </c>
      <c r="V23" s="33" t="s">
        <v>30</v>
      </c>
      <c r="W23" s="7"/>
    </row>
    <row r="24" spans="2:25">
      <c r="B24" s="6"/>
      <c r="C24" s="34" t="s">
        <v>31</v>
      </c>
      <c r="D24" s="35"/>
      <c r="E24" s="35"/>
      <c r="F24" s="35"/>
      <c r="G24" s="36" t="s">
        <v>32</v>
      </c>
      <c r="H24" s="36" t="s">
        <v>33</v>
      </c>
      <c r="I24" s="36" t="s">
        <v>34</v>
      </c>
      <c r="J24" s="36" t="s">
        <v>35</v>
      </c>
      <c r="K24" s="36" t="s">
        <v>36</v>
      </c>
      <c r="L24" s="36" t="s">
        <v>37</v>
      </c>
      <c r="M24" s="36" t="s">
        <v>38</v>
      </c>
      <c r="N24" s="36" t="s">
        <v>39</v>
      </c>
      <c r="O24" s="36" t="s">
        <v>40</v>
      </c>
      <c r="P24" s="36" t="s">
        <v>41</v>
      </c>
      <c r="Q24" s="36" t="s">
        <v>42</v>
      </c>
      <c r="R24" s="36" t="s">
        <v>43</v>
      </c>
      <c r="S24" s="36" t="s">
        <v>44</v>
      </c>
      <c r="T24" s="37" t="s">
        <v>45</v>
      </c>
      <c r="U24" s="37" t="s">
        <v>46</v>
      </c>
      <c r="V24" s="38" t="s">
        <v>47</v>
      </c>
      <c r="W24" s="7"/>
    </row>
    <row r="25" spans="2:25">
      <c r="B25" s="6"/>
      <c r="C25" s="24" t="s">
        <v>48</v>
      </c>
      <c r="D25" s="31"/>
      <c r="E25" s="31"/>
      <c r="F25" s="31"/>
      <c r="G25" s="39" t="s">
        <v>49</v>
      </c>
      <c r="H25" s="39" t="s">
        <v>50</v>
      </c>
      <c r="I25" s="39" t="s">
        <v>51</v>
      </c>
      <c r="J25" s="39" t="s">
        <v>52</v>
      </c>
      <c r="K25" s="39" t="s">
        <v>53</v>
      </c>
      <c r="L25" s="39" t="s">
        <v>54</v>
      </c>
      <c r="M25" s="39" t="s">
        <v>55</v>
      </c>
      <c r="N25" s="39" t="s">
        <v>56</v>
      </c>
      <c r="O25" s="39" t="s">
        <v>57</v>
      </c>
      <c r="P25" s="39" t="s">
        <v>58</v>
      </c>
      <c r="Q25" s="39" t="s">
        <v>59</v>
      </c>
      <c r="R25" s="39" t="s">
        <v>60</v>
      </c>
      <c r="S25" s="39" t="s">
        <v>61</v>
      </c>
      <c r="T25" s="40" t="s">
        <v>62</v>
      </c>
      <c r="U25" s="40" t="s">
        <v>63</v>
      </c>
      <c r="V25" s="41" t="s">
        <v>64</v>
      </c>
      <c r="W25" s="7"/>
    </row>
    <row r="26" spans="2:25">
      <c r="B26" s="6"/>
      <c r="C26" s="24" t="s">
        <v>65</v>
      </c>
      <c r="D26" s="31"/>
      <c r="E26" s="31"/>
      <c r="F26" s="31"/>
      <c r="G26" s="36" t="s">
        <v>66</v>
      </c>
      <c r="H26" s="36" t="s">
        <v>66</v>
      </c>
      <c r="I26" s="42" t="s">
        <v>66</v>
      </c>
      <c r="J26" s="42" t="s">
        <v>66</v>
      </c>
      <c r="K26" s="42" t="s">
        <v>66</v>
      </c>
      <c r="L26" s="42" t="s">
        <v>66</v>
      </c>
      <c r="M26" s="42" t="s">
        <v>66</v>
      </c>
      <c r="N26" s="42" t="s">
        <v>66</v>
      </c>
      <c r="O26" s="42" t="s">
        <v>67</v>
      </c>
      <c r="P26" s="42" t="s">
        <v>66</v>
      </c>
      <c r="Q26" s="42" t="s">
        <v>66</v>
      </c>
      <c r="R26" s="42" t="s">
        <v>66</v>
      </c>
      <c r="S26" s="42" t="s">
        <v>66</v>
      </c>
      <c r="T26" s="43" t="s">
        <v>66</v>
      </c>
      <c r="U26" s="43" t="s">
        <v>66</v>
      </c>
      <c r="V26" s="38" t="s">
        <v>66</v>
      </c>
      <c r="W26" s="7"/>
    </row>
    <row r="27" spans="2:25">
      <c r="B27" s="6"/>
      <c r="C27" s="34" t="s">
        <v>68</v>
      </c>
      <c r="D27" s="35"/>
      <c r="E27" s="35"/>
      <c r="F27" s="35"/>
      <c r="G27" s="44">
        <v>1.55E-2</v>
      </c>
      <c r="H27" s="45">
        <v>1.7000000000000001E-2</v>
      </c>
      <c r="I27" s="46">
        <v>1.4999999999999999E-2</v>
      </c>
      <c r="J27" s="46">
        <v>1.4500000000000001E-2</v>
      </c>
      <c r="K27" s="46">
        <v>2.1999999999999999E-2</v>
      </c>
      <c r="L27" s="46">
        <v>2.35E-2</v>
      </c>
      <c r="M27" s="46">
        <v>2.5000000000000001E-2</v>
      </c>
      <c r="N27" s="46">
        <v>2.35E-2</v>
      </c>
      <c r="O27" s="47" t="s">
        <v>69</v>
      </c>
      <c r="P27" s="46">
        <v>2.5000000000000001E-2</v>
      </c>
      <c r="Q27" s="46">
        <v>2.7400000000000001E-2</v>
      </c>
      <c r="R27" s="46">
        <v>2.75E-2</v>
      </c>
      <c r="S27" s="46">
        <v>3.7999999999999999E-2</v>
      </c>
      <c r="T27" s="48">
        <v>0.04</v>
      </c>
      <c r="U27" s="48">
        <v>3.6999999999999998E-2</v>
      </c>
      <c r="V27" s="49">
        <v>3.6999999999999998E-2</v>
      </c>
      <c r="W27" s="7"/>
    </row>
    <row r="28" spans="2:25">
      <c r="B28" s="6"/>
      <c r="C28" s="24" t="s">
        <v>70</v>
      </c>
      <c r="D28" s="31"/>
      <c r="E28" s="31"/>
      <c r="F28" s="31"/>
      <c r="G28" s="44">
        <f t="shared" ref="G28:S28" si="0">G27*1.3</f>
        <v>2.0150000000000001E-2</v>
      </c>
      <c r="H28" s="45">
        <f t="shared" si="0"/>
        <v>2.2100000000000002E-2</v>
      </c>
      <c r="I28" s="46">
        <f>I27*1.3</f>
        <v>1.95E-2</v>
      </c>
      <c r="J28" s="46">
        <v>1.89E-2</v>
      </c>
      <c r="K28" s="46">
        <f t="shared" si="0"/>
        <v>2.86E-2</v>
      </c>
      <c r="L28" s="46">
        <f t="shared" si="0"/>
        <v>3.0550000000000001E-2</v>
      </c>
      <c r="M28" s="46">
        <f t="shared" si="0"/>
        <v>3.2500000000000001E-2</v>
      </c>
      <c r="N28" s="46">
        <v>3.0599999999999999E-2</v>
      </c>
      <c r="O28" s="46">
        <f>M28</f>
        <v>3.2500000000000001E-2</v>
      </c>
      <c r="P28" s="46">
        <f t="shared" si="0"/>
        <v>3.2500000000000001E-2</v>
      </c>
      <c r="Q28" s="46">
        <f t="shared" si="0"/>
        <v>3.5619999999999999E-2</v>
      </c>
      <c r="R28" s="46">
        <v>3.5799999999999998E-2</v>
      </c>
      <c r="S28" s="46">
        <f t="shared" si="0"/>
        <v>4.9399999999999999E-2</v>
      </c>
      <c r="T28" s="48">
        <v>5.2000000000000005E-2</v>
      </c>
      <c r="U28" s="48">
        <v>4.8099999999999997E-2</v>
      </c>
      <c r="V28" s="49">
        <f>V27*1.3</f>
        <v>4.8099999999999997E-2</v>
      </c>
      <c r="W28" s="7"/>
    </row>
    <row r="29" spans="2:25">
      <c r="B29" s="6"/>
      <c r="C29" s="24" t="s">
        <v>71</v>
      </c>
      <c r="D29" s="31"/>
      <c r="E29" s="31"/>
      <c r="F29" s="31"/>
      <c r="G29" s="50">
        <f>'Servicer Report'!$J$16</f>
        <v>8.3580000000000002E-2</v>
      </c>
      <c r="H29" s="51">
        <f>'Servicer Report'!$J$16</f>
        <v>8.3580000000000002E-2</v>
      </c>
      <c r="I29" s="51">
        <f>'Servicer Report'!$J$16</f>
        <v>8.3580000000000002E-2</v>
      </c>
      <c r="J29" s="51">
        <f>'Servicer Report'!$J$16</f>
        <v>8.3580000000000002E-2</v>
      </c>
      <c r="K29" s="52">
        <f>'Servicer Report'!$J$16</f>
        <v>8.3580000000000002E-2</v>
      </c>
      <c r="L29" s="52">
        <f>'Servicer Report'!$J$16</f>
        <v>8.3580000000000002E-2</v>
      </c>
      <c r="M29" s="52">
        <f>'Servicer Report'!$J$16</f>
        <v>8.3580000000000002E-2</v>
      </c>
      <c r="N29" s="52">
        <f>'Servicer Report'!$J$16</f>
        <v>8.3580000000000002E-2</v>
      </c>
      <c r="O29" s="53" t="s">
        <v>69</v>
      </c>
      <c r="P29" s="52">
        <f>'Servicer Report'!$J$16</f>
        <v>8.3580000000000002E-2</v>
      </c>
      <c r="Q29" s="52">
        <f>'Servicer Report'!$J$16</f>
        <v>8.3580000000000002E-2</v>
      </c>
      <c r="R29" s="52">
        <f>'Servicer Report'!$J$16</f>
        <v>8.3580000000000002E-2</v>
      </c>
      <c r="S29" s="52">
        <f>'Servicer Report'!$J$16</f>
        <v>8.3580000000000002E-2</v>
      </c>
      <c r="T29" s="52">
        <f>'Servicer Report'!$J$16</f>
        <v>8.3580000000000002E-2</v>
      </c>
      <c r="U29" s="48">
        <f>'Servicer Report'!$J$16</f>
        <v>8.3580000000000002E-2</v>
      </c>
      <c r="V29" s="49">
        <f>'Servicer Report'!$J$16</f>
        <v>8.3580000000000002E-2</v>
      </c>
      <c r="W29" s="7"/>
    </row>
    <row r="30" spans="2:25">
      <c r="B30" s="6"/>
      <c r="C30" s="24" t="s">
        <v>72</v>
      </c>
      <c r="D30" s="31"/>
      <c r="E30" s="31"/>
      <c r="F30" s="31"/>
      <c r="G30" s="54">
        <f>G29+G27</f>
        <v>9.9080000000000001E-2</v>
      </c>
      <c r="H30" s="55">
        <f>H29+H27</f>
        <v>0.10058</v>
      </c>
      <c r="I30" s="56">
        <f>I29+I27</f>
        <v>9.8580000000000001E-2</v>
      </c>
      <c r="J30" s="56">
        <f>J29+J27</f>
        <v>9.8080000000000001E-2</v>
      </c>
      <c r="K30" s="56">
        <f t="shared" ref="K30:L30" si="1">K29+K27</f>
        <v>0.10558000000000001</v>
      </c>
      <c r="L30" s="56">
        <f t="shared" si="1"/>
        <v>0.10708000000000001</v>
      </c>
      <c r="M30" s="56">
        <f>M29+M27</f>
        <v>0.10858000000000001</v>
      </c>
      <c r="N30" s="56">
        <f>N29+N27</f>
        <v>0.10708000000000001</v>
      </c>
      <c r="O30" s="57">
        <v>0.10235</v>
      </c>
      <c r="P30" s="56">
        <f t="shared" ref="P30:V30" si="2">P29+P27</f>
        <v>0.10858000000000001</v>
      </c>
      <c r="Q30" s="56">
        <f t="shared" si="2"/>
        <v>0.11098</v>
      </c>
      <c r="R30" s="56">
        <f t="shared" si="2"/>
        <v>0.11108</v>
      </c>
      <c r="S30" s="56">
        <f t="shared" si="2"/>
        <v>0.12157999999999999</v>
      </c>
      <c r="T30" s="56">
        <f t="shared" si="2"/>
        <v>0.12358</v>
      </c>
      <c r="U30" s="58">
        <f t="shared" si="2"/>
        <v>0.12057999999999999</v>
      </c>
      <c r="V30" s="59">
        <f t="shared" si="2"/>
        <v>0.12057999999999999</v>
      </c>
      <c r="W30" s="7"/>
    </row>
    <row r="31" spans="2:25">
      <c r="B31" s="6"/>
      <c r="C31" s="34" t="s">
        <v>73</v>
      </c>
      <c r="D31" s="35"/>
      <c r="E31" s="35"/>
      <c r="F31" s="35"/>
      <c r="G31" s="60">
        <v>202000000</v>
      </c>
      <c r="H31" s="60">
        <v>27000000</v>
      </c>
      <c r="I31" s="61">
        <v>150000000</v>
      </c>
      <c r="J31" s="61">
        <v>50000000</v>
      </c>
      <c r="K31" s="61">
        <v>309000000</v>
      </c>
      <c r="L31" s="61">
        <v>283000000</v>
      </c>
      <c r="M31" s="61">
        <v>135000000</v>
      </c>
      <c r="N31" s="61">
        <v>135000000</v>
      </c>
      <c r="O31" s="61">
        <v>60000000</v>
      </c>
      <c r="P31" s="61">
        <v>73000000</v>
      </c>
      <c r="Q31" s="61">
        <v>118000000</v>
      </c>
      <c r="R31" s="61">
        <v>30000000</v>
      </c>
      <c r="S31" s="61">
        <v>25000000</v>
      </c>
      <c r="T31" s="62">
        <v>12000000</v>
      </c>
      <c r="U31" s="62">
        <v>10000000</v>
      </c>
      <c r="V31" s="63">
        <v>18000000</v>
      </c>
      <c r="W31" s="7"/>
    </row>
    <row r="32" spans="2:25">
      <c r="B32" s="6"/>
      <c r="C32" s="24" t="s">
        <v>74</v>
      </c>
      <c r="D32" s="31"/>
      <c r="E32" s="31"/>
      <c r="F32" s="31"/>
      <c r="G32" s="44">
        <f>G31/SUM($G$31:$V$31)</f>
        <v>0.12339645693341478</v>
      </c>
      <c r="H32" s="45">
        <f t="shared" ref="H32:O32" si="3">H31/SUM($G$31:$V$31)</f>
        <v>1.6493585827733658E-2</v>
      </c>
      <c r="I32" s="46">
        <f t="shared" si="3"/>
        <v>9.1631032376298105E-2</v>
      </c>
      <c r="J32" s="46">
        <f t="shared" si="3"/>
        <v>3.0543677458766034E-2</v>
      </c>
      <c r="K32" s="46">
        <f t="shared" si="3"/>
        <v>0.18875992669517411</v>
      </c>
      <c r="L32" s="46">
        <f t="shared" si="3"/>
        <v>0.17287721441661577</v>
      </c>
      <c r="M32" s="46">
        <f t="shared" si="3"/>
        <v>8.2467929138668294E-2</v>
      </c>
      <c r="N32" s="46">
        <f t="shared" si="3"/>
        <v>8.2467929138668294E-2</v>
      </c>
      <c r="O32" s="46">
        <f t="shared" si="3"/>
        <v>3.6652412950519242E-2</v>
      </c>
      <c r="P32" s="46">
        <f>P31/SUM($E$31:$V$31)</f>
        <v>4.459376908979841E-2</v>
      </c>
      <c r="Q32" s="46">
        <f>Q31/SUM($G$31:$V$31)</f>
        <v>7.2083078802687842E-2</v>
      </c>
      <c r="R32" s="46">
        <f>R31/SUM($G$31:$V$31)</f>
        <v>1.8326206475259621E-2</v>
      </c>
      <c r="S32" s="46">
        <f>S31/SUM($E$31:$V$31)</f>
        <v>1.5271838729383017E-2</v>
      </c>
      <c r="T32" s="46">
        <f>T31/SUM($E$31:$V$31)</f>
        <v>7.3304825901038487E-3</v>
      </c>
      <c r="U32" s="48">
        <f>U31/SUM($E$31:$V$31)</f>
        <v>6.1087354917532073E-3</v>
      </c>
      <c r="V32" s="49">
        <f>V31/SUM($G$31:$V$31)</f>
        <v>1.0995723885155772E-2</v>
      </c>
      <c r="W32" s="7"/>
    </row>
    <row r="33" spans="2:24">
      <c r="B33" s="6"/>
      <c r="C33" s="24" t="s">
        <v>75</v>
      </c>
      <c r="D33" s="31"/>
      <c r="E33" s="31"/>
      <c r="F33" s="31"/>
      <c r="G33" s="44">
        <v>4.9622639966668172E-2</v>
      </c>
      <c r="H33" s="44">
        <v>9.3326546925259716E-3</v>
      </c>
      <c r="I33" s="44">
        <v>6.0217274480724017E-2</v>
      </c>
      <c r="J33" s="44">
        <v>2.5796623819819429E-2</v>
      </c>
      <c r="K33" s="44">
        <v>0.18498770815289917</v>
      </c>
      <c r="L33" s="44">
        <v>0.16942239937627981</v>
      </c>
      <c r="M33" s="44">
        <v>8.0819872493985062E-2</v>
      </c>
      <c r="N33" s="44">
        <v>8.0819872493985062E-2</v>
      </c>
      <c r="O33" s="44">
        <v>3.591994333066003E-2</v>
      </c>
      <c r="P33" s="44">
        <v>4.3702597718969706E-2</v>
      </c>
      <c r="Q33" s="44">
        <v>7.064255521696472E-2</v>
      </c>
      <c r="R33" s="44">
        <v>1.7959971665330015E-2</v>
      </c>
      <c r="S33" s="44">
        <v>1.4966643054441679E-2</v>
      </c>
      <c r="T33" s="44">
        <v>7.183988666132006E-3</v>
      </c>
      <c r="U33" s="64">
        <v>5.9866572217766719E-3</v>
      </c>
      <c r="V33" s="49">
        <v>1.0775982999198009E-2</v>
      </c>
      <c r="W33" s="7"/>
    </row>
    <row r="34" spans="2:24">
      <c r="B34" s="6"/>
      <c r="C34" s="65" t="s">
        <v>76</v>
      </c>
      <c r="D34" s="31"/>
      <c r="E34" s="31"/>
      <c r="F34" s="31"/>
      <c r="G34" s="45">
        <f>1-SUM($G$33:$J$33)</f>
        <v>0.85503080704026235</v>
      </c>
      <c r="H34" s="45">
        <f t="shared" ref="H34:J34" si="4">1-SUM($G$33:$J$33)</f>
        <v>0.85503080704026235</v>
      </c>
      <c r="I34" s="45">
        <f t="shared" si="4"/>
        <v>0.85503080704026235</v>
      </c>
      <c r="J34" s="45">
        <f t="shared" si="4"/>
        <v>0.85503080704026235</v>
      </c>
      <c r="K34" s="46">
        <f>1-SUM($G$33:$O$33)</f>
        <v>0.30306101119245332</v>
      </c>
      <c r="L34" s="46">
        <f>1-SUM($G$33:$O$33)</f>
        <v>0.30306101119245332</v>
      </c>
      <c r="M34" s="46">
        <f>1-SUM($G$33:$O$33)</f>
        <v>0.30306101119245332</v>
      </c>
      <c r="N34" s="46">
        <f>1-SUM($G$33:$O$33)</f>
        <v>0.30306101119245332</v>
      </c>
      <c r="O34" s="46">
        <f>1-SUM($G$33:$O$33)</f>
        <v>0.30306101119245332</v>
      </c>
      <c r="P34" s="46">
        <f>1-SUM($G$33:$R$33)</f>
        <v>0.1707558865911889</v>
      </c>
      <c r="Q34" s="46">
        <f t="shared" ref="Q34:R34" si="5">1-SUM($G$33:$R$33)</f>
        <v>0.1707558865911889</v>
      </c>
      <c r="R34" s="46">
        <f t="shared" si="5"/>
        <v>0.1707558865911889</v>
      </c>
      <c r="S34" s="46">
        <f>1-SUM($G$33:$V$33)</f>
        <v>0.13184261464964042</v>
      </c>
      <c r="T34" s="46">
        <f>1-SUM($G$33:$V$33)</f>
        <v>0.13184261464964042</v>
      </c>
      <c r="U34" s="48">
        <f>1-SUM($G$33:$V$33)</f>
        <v>0.13184261464964042</v>
      </c>
      <c r="V34" s="49">
        <f>1-SUM($G$33:$V$33)</f>
        <v>0.13184261464964042</v>
      </c>
      <c r="W34" s="7"/>
    </row>
    <row r="35" spans="2:24">
      <c r="B35" s="6"/>
      <c r="C35" s="24" t="s">
        <v>77</v>
      </c>
      <c r="D35" s="31"/>
      <c r="E35" s="31"/>
      <c r="F35" s="31"/>
      <c r="G35" s="60">
        <v>82888727.596034914</v>
      </c>
      <c r="H35" s="60">
        <v>15589091.45253568</v>
      </c>
      <c r="I35" s="61">
        <v>100585806.48593277</v>
      </c>
      <c r="J35" s="61">
        <v>43090196.856408149</v>
      </c>
      <c r="K35" s="61">
        <v>309000000</v>
      </c>
      <c r="L35" s="61">
        <v>283000000</v>
      </c>
      <c r="M35" s="61">
        <v>135000000</v>
      </c>
      <c r="N35" s="61">
        <v>135000000</v>
      </c>
      <c r="O35" s="61">
        <v>60000000</v>
      </c>
      <c r="P35" s="61">
        <v>73000000</v>
      </c>
      <c r="Q35" s="61">
        <v>118000000</v>
      </c>
      <c r="R35" s="61">
        <v>30000000</v>
      </c>
      <c r="S35" s="61">
        <v>25000000</v>
      </c>
      <c r="T35" s="62">
        <v>12000000</v>
      </c>
      <c r="U35" s="62">
        <v>10000000</v>
      </c>
      <c r="V35" s="63">
        <v>18000000</v>
      </c>
      <c r="W35" s="7"/>
    </row>
    <row r="36" spans="2:24">
      <c r="B36" s="6"/>
      <c r="C36" s="24" t="s">
        <v>78</v>
      </c>
      <c r="D36" s="31"/>
      <c r="E36" s="31"/>
      <c r="F36" s="31"/>
      <c r="G36" s="66">
        <f t="shared" ref="G36:V36" si="6">G35*G30*$K$16/365</f>
        <v>2070029.01912272</v>
      </c>
      <c r="H36" s="67">
        <f t="shared" si="6"/>
        <v>395209.52132393309</v>
      </c>
      <c r="I36" s="67">
        <f t="shared" si="6"/>
        <v>2499312.0271541346</v>
      </c>
      <c r="J36" s="67">
        <f t="shared" si="6"/>
        <v>1065255.7772773672</v>
      </c>
      <c r="K36" s="67">
        <f t="shared" si="6"/>
        <v>8223091.068493152</v>
      </c>
      <c r="L36" s="67">
        <f t="shared" si="6"/>
        <v>7638177.7534246584</v>
      </c>
      <c r="M36" s="67">
        <f t="shared" si="6"/>
        <v>3694694.7945205485</v>
      </c>
      <c r="N36" s="67">
        <f t="shared" si="6"/>
        <v>3643653.6986301378</v>
      </c>
      <c r="O36" s="67">
        <v>0</v>
      </c>
      <c r="P36" s="67">
        <f t="shared" si="6"/>
        <v>1997872.0000000002</v>
      </c>
      <c r="Q36" s="67">
        <f t="shared" si="6"/>
        <v>3300818.8493150687</v>
      </c>
      <c r="R36" s="67">
        <f t="shared" si="6"/>
        <v>839947.39726027392</v>
      </c>
      <c r="S36" s="67">
        <f t="shared" si="6"/>
        <v>766120.54794520547</v>
      </c>
      <c r="T36" s="68">
        <f t="shared" si="6"/>
        <v>373787.17808219179</v>
      </c>
      <c r="U36" s="68">
        <f t="shared" si="6"/>
        <v>303927.67123287672</v>
      </c>
      <c r="V36" s="69">
        <f t="shared" si="6"/>
        <v>547069.80821917811</v>
      </c>
      <c r="W36" s="7"/>
      <c r="X36" s="70"/>
    </row>
    <row r="37" spans="2:24">
      <c r="B37" s="6"/>
      <c r="C37" s="24" t="s">
        <v>79</v>
      </c>
      <c r="D37" s="31"/>
      <c r="E37" s="31"/>
      <c r="F37" s="31"/>
      <c r="G37" s="60">
        <f t="shared" ref="G37:V37" si="7">G36</f>
        <v>2070029.01912272</v>
      </c>
      <c r="H37" s="61">
        <f t="shared" si="7"/>
        <v>395209.52132393309</v>
      </c>
      <c r="I37" s="61">
        <f t="shared" si="7"/>
        <v>2499312.0271541346</v>
      </c>
      <c r="J37" s="61">
        <f t="shared" si="7"/>
        <v>1065255.7772773672</v>
      </c>
      <c r="K37" s="61">
        <f t="shared" si="7"/>
        <v>8223091.068493152</v>
      </c>
      <c r="L37" s="61">
        <f t="shared" si="7"/>
        <v>7638177.7534246584</v>
      </c>
      <c r="M37" s="61">
        <f t="shared" si="7"/>
        <v>3694694.7945205485</v>
      </c>
      <c r="N37" s="61">
        <f t="shared" si="7"/>
        <v>3643653.6986301378</v>
      </c>
      <c r="O37" s="61">
        <f t="shared" si="7"/>
        <v>0</v>
      </c>
      <c r="P37" s="61">
        <f t="shared" si="7"/>
        <v>1997872.0000000002</v>
      </c>
      <c r="Q37" s="61">
        <f t="shared" si="7"/>
        <v>3300818.8493150687</v>
      </c>
      <c r="R37" s="61">
        <f t="shared" si="7"/>
        <v>839947.39726027392</v>
      </c>
      <c r="S37" s="61">
        <f t="shared" si="7"/>
        <v>766120.54794520547</v>
      </c>
      <c r="T37" s="62">
        <f t="shared" si="7"/>
        <v>373787.17808219179</v>
      </c>
      <c r="U37" s="62">
        <f t="shared" si="7"/>
        <v>303927.67123287672</v>
      </c>
      <c r="V37" s="63">
        <f t="shared" si="7"/>
        <v>547069.80821917811</v>
      </c>
      <c r="W37" s="7"/>
      <c r="X37" s="70"/>
    </row>
    <row r="38" spans="2:24">
      <c r="B38" s="6"/>
      <c r="C38" s="24" t="s">
        <v>80</v>
      </c>
      <c r="D38" s="31"/>
      <c r="E38" s="31"/>
      <c r="F38" s="31"/>
      <c r="G38" s="60">
        <f t="shared" ref="G38:V38" si="8">G36-G37</f>
        <v>0</v>
      </c>
      <c r="H38" s="60">
        <f t="shared" si="8"/>
        <v>0</v>
      </c>
      <c r="I38" s="60">
        <f t="shared" si="8"/>
        <v>0</v>
      </c>
      <c r="J38" s="60">
        <f t="shared" si="8"/>
        <v>0</v>
      </c>
      <c r="K38" s="60">
        <f t="shared" si="8"/>
        <v>0</v>
      </c>
      <c r="L38" s="60">
        <f t="shared" si="8"/>
        <v>0</v>
      </c>
      <c r="M38" s="60">
        <f t="shared" si="8"/>
        <v>0</v>
      </c>
      <c r="N38" s="60">
        <f t="shared" si="8"/>
        <v>0</v>
      </c>
      <c r="O38" s="60">
        <f t="shared" si="8"/>
        <v>0</v>
      </c>
      <c r="P38" s="60">
        <f t="shared" si="8"/>
        <v>0</v>
      </c>
      <c r="Q38" s="60">
        <f t="shared" si="8"/>
        <v>0</v>
      </c>
      <c r="R38" s="60">
        <f t="shared" si="8"/>
        <v>0</v>
      </c>
      <c r="S38" s="60">
        <f t="shared" si="8"/>
        <v>0</v>
      </c>
      <c r="T38" s="60">
        <f t="shared" si="8"/>
        <v>0</v>
      </c>
      <c r="U38" s="62">
        <f t="shared" si="8"/>
        <v>0</v>
      </c>
      <c r="V38" s="63">
        <f t="shared" si="8"/>
        <v>0</v>
      </c>
      <c r="W38" s="7"/>
    </row>
    <row r="39" spans="2:24">
      <c r="B39" s="6"/>
      <c r="C39" s="24" t="s">
        <v>81</v>
      </c>
      <c r="D39" s="31"/>
      <c r="E39" s="31"/>
      <c r="F39" s="31"/>
      <c r="G39" s="66">
        <f>ROUND($L$164,0)*G35/SUM($G$35:$J$35)</f>
        <v>4083682.2395779183</v>
      </c>
      <c r="H39" s="66">
        <f t="shared" ref="H39:J39" si="9">ROUND($L$164,0)*H35/SUM($G$35:$J$35)</f>
        <v>768028.38868672878</v>
      </c>
      <c r="I39" s="66">
        <f t="shared" si="9"/>
        <v>4955564.929191581</v>
      </c>
      <c r="J39" s="66">
        <f t="shared" si="9"/>
        <v>2122926.442543772</v>
      </c>
      <c r="K39" s="67">
        <v>0</v>
      </c>
      <c r="L39" s="67">
        <v>0</v>
      </c>
      <c r="M39" s="67">
        <v>0</v>
      </c>
      <c r="N39" s="67">
        <v>0</v>
      </c>
      <c r="O39" s="67">
        <v>0</v>
      </c>
      <c r="P39" s="67">
        <v>0</v>
      </c>
      <c r="Q39" s="67">
        <v>0</v>
      </c>
      <c r="R39" s="67">
        <v>0</v>
      </c>
      <c r="S39" s="67">
        <v>0</v>
      </c>
      <c r="T39" s="68">
        <v>0</v>
      </c>
      <c r="U39" s="68">
        <v>0</v>
      </c>
      <c r="V39" s="69">
        <v>0</v>
      </c>
      <c r="W39" s="7"/>
    </row>
    <row r="40" spans="2:24">
      <c r="B40" s="6"/>
      <c r="C40" s="24" t="s">
        <v>82</v>
      </c>
      <c r="D40" s="31"/>
      <c r="E40" s="31"/>
      <c r="F40" s="31"/>
      <c r="G40" s="60">
        <f t="shared" ref="G40:V40" si="10">G35-G39</f>
        <v>78805045.356456995</v>
      </c>
      <c r="H40" s="61">
        <f t="shared" si="10"/>
        <v>14821063.06384895</v>
      </c>
      <c r="I40" s="61">
        <f t="shared" si="10"/>
        <v>95630241.556741193</v>
      </c>
      <c r="J40" s="61">
        <f t="shared" si="10"/>
        <v>40967270.413864374</v>
      </c>
      <c r="K40" s="61">
        <f t="shared" si="10"/>
        <v>309000000</v>
      </c>
      <c r="L40" s="61">
        <f t="shared" si="10"/>
        <v>283000000</v>
      </c>
      <c r="M40" s="61">
        <f t="shared" si="10"/>
        <v>135000000</v>
      </c>
      <c r="N40" s="61">
        <f t="shared" si="10"/>
        <v>135000000</v>
      </c>
      <c r="O40" s="61">
        <f t="shared" si="10"/>
        <v>60000000</v>
      </c>
      <c r="P40" s="61">
        <f t="shared" si="10"/>
        <v>73000000</v>
      </c>
      <c r="Q40" s="61">
        <f t="shared" si="10"/>
        <v>118000000</v>
      </c>
      <c r="R40" s="61">
        <f t="shared" si="10"/>
        <v>30000000</v>
      </c>
      <c r="S40" s="61">
        <f t="shared" si="10"/>
        <v>25000000</v>
      </c>
      <c r="T40" s="61">
        <f t="shared" si="10"/>
        <v>12000000</v>
      </c>
      <c r="U40" s="62">
        <f t="shared" si="10"/>
        <v>10000000</v>
      </c>
      <c r="V40" s="69">
        <f t="shared" si="10"/>
        <v>18000000</v>
      </c>
      <c r="W40" s="7"/>
    </row>
    <row r="41" spans="2:24">
      <c r="B41" s="6"/>
      <c r="C41" s="65" t="s">
        <v>83</v>
      </c>
      <c r="D41" s="31"/>
      <c r="E41" s="31"/>
      <c r="F41" s="31"/>
      <c r="G41" s="46">
        <f>G40/SUM($G$40:$V$40)</f>
        <v>5.4793318812993527E-2</v>
      </c>
      <c r="H41" s="46">
        <f t="shared" ref="H41:M41" si="11">H40/SUM($G$40:$V$40)</f>
        <v>1.0305117266688028E-2</v>
      </c>
      <c r="I41" s="46">
        <f t="shared" si="11"/>
        <v>6.6491914192557025E-2</v>
      </c>
      <c r="J41" s="46">
        <f t="shared" si="11"/>
        <v>2.8484631898014163E-2</v>
      </c>
      <c r="K41" s="46">
        <f t="shared" si="11"/>
        <v>0.21484836962698003</v>
      </c>
      <c r="L41" s="46">
        <f t="shared" si="11"/>
        <v>0.1967705132829623</v>
      </c>
      <c r="M41" s="46">
        <f t="shared" si="11"/>
        <v>9.3865792555476724E-2</v>
      </c>
      <c r="N41" s="46">
        <f t="shared" ref="N41:U41" si="12">N40/SUM($G$40:$V$40)</f>
        <v>9.3865792555476724E-2</v>
      </c>
      <c r="O41" s="46">
        <f t="shared" si="12"/>
        <v>4.1718130024656318E-2</v>
      </c>
      <c r="P41" s="46">
        <f t="shared" si="12"/>
        <v>5.0757058196665185E-2</v>
      </c>
      <c r="Q41" s="46">
        <f t="shared" si="12"/>
        <v>8.2045655715157428E-2</v>
      </c>
      <c r="R41" s="46">
        <f t="shared" si="12"/>
        <v>2.0859065012328159E-2</v>
      </c>
      <c r="S41" s="46">
        <f t="shared" si="12"/>
        <v>1.7382554176940134E-2</v>
      </c>
      <c r="T41" s="46">
        <f t="shared" si="12"/>
        <v>8.3436260049312636E-3</v>
      </c>
      <c r="U41" s="48">
        <f t="shared" si="12"/>
        <v>6.953021670776053E-3</v>
      </c>
      <c r="V41" s="49">
        <f>V40/SUM($G$40:$V$40)</f>
        <v>1.2515439007396895E-2</v>
      </c>
      <c r="W41" s="7"/>
    </row>
    <row r="42" spans="2:24">
      <c r="B42" s="6"/>
      <c r="C42" s="65" t="s">
        <v>84</v>
      </c>
      <c r="D42" s="31"/>
      <c r="E42" s="31"/>
      <c r="F42" s="31"/>
      <c r="G42" s="46">
        <v>4.8274951538232476E-2</v>
      </c>
      <c r="H42" s="46">
        <v>9.0791915405422849E-3</v>
      </c>
      <c r="I42" s="46">
        <v>5.8581849117137576E-2</v>
      </c>
      <c r="J42" s="46">
        <v>2.5096019993863541E-2</v>
      </c>
      <c r="K42" s="46">
        <v>0.18928940346192688</v>
      </c>
      <c r="L42" s="46">
        <v>0.17336213974021134</v>
      </c>
      <c r="M42" s="46">
        <v>8.2699253939676795E-2</v>
      </c>
      <c r="N42" s="46">
        <v>8.2699253939676795E-2</v>
      </c>
      <c r="O42" s="46">
        <v>3.6755223973189685E-2</v>
      </c>
      <c r="P42" s="46">
        <v>4.4718855834047451E-2</v>
      </c>
      <c r="Q42" s="46">
        <v>7.2285273813939718E-2</v>
      </c>
      <c r="R42" s="46">
        <v>1.8377611986594843E-2</v>
      </c>
      <c r="S42" s="46">
        <v>1.5314676655495702E-2</v>
      </c>
      <c r="T42" s="46">
        <v>7.3510447946379372E-3</v>
      </c>
      <c r="U42" s="46">
        <v>6.1258706621982809E-3</v>
      </c>
      <c r="V42" s="49">
        <v>1.1026567191956906E-2</v>
      </c>
      <c r="W42" s="7"/>
    </row>
    <row r="43" spans="2:24">
      <c r="B43" s="6"/>
      <c r="C43" s="71" t="s">
        <v>85</v>
      </c>
      <c r="D43" s="31"/>
      <c r="E43" s="31"/>
      <c r="F43" s="31"/>
      <c r="G43" s="45">
        <f>1-G42-H42-I42-J42</f>
        <v>0.8589679878102241</v>
      </c>
      <c r="H43" s="45">
        <f>1-G42-H42-I42-J42</f>
        <v>0.8589679878102241</v>
      </c>
      <c r="I43" s="45">
        <f>1-G42-H42-I42-J42</f>
        <v>0.8589679878102241</v>
      </c>
      <c r="J43" s="45">
        <f>1-G42-H42-I42-J42</f>
        <v>0.8589679878102241</v>
      </c>
      <c r="K43" s="45">
        <f>1-SUM($G$42:$O$42)</f>
        <v>0.29416271275554262</v>
      </c>
      <c r="L43" s="45">
        <f>1-SUM($G$42:$O$42)</f>
        <v>0.29416271275554262</v>
      </c>
      <c r="M43" s="45">
        <f>1-SUM($G$42:$O$42)</f>
        <v>0.29416271275554262</v>
      </c>
      <c r="N43" s="45">
        <f>1-SUM($G$42:$O$42)</f>
        <v>0.29416271275554262</v>
      </c>
      <c r="O43" s="45">
        <f>1-SUM($G$42:$O$42)</f>
        <v>0.29416271275554262</v>
      </c>
      <c r="P43" s="45">
        <f>1-SUM($G$42:$R$42)</f>
        <v>0.15878097112096068</v>
      </c>
      <c r="Q43" s="45">
        <f t="shared" ref="Q43:R43" si="13">1-SUM($G$42:$R$42)</f>
        <v>0.15878097112096068</v>
      </c>
      <c r="R43" s="45">
        <f t="shared" si="13"/>
        <v>0.15878097112096068</v>
      </c>
      <c r="S43" s="46">
        <f>1-SUM($G$42:$V$42)</f>
        <v>0.1189628118166719</v>
      </c>
      <c r="T43" s="48">
        <f>1-SUM($G$42:$V$42)</f>
        <v>0.1189628118166719</v>
      </c>
      <c r="U43" s="48">
        <f>1-SUM($G$42:$V$42)</f>
        <v>0.1189628118166719</v>
      </c>
      <c r="V43" s="49">
        <f>1-SUM($G$42:$V$42)</f>
        <v>0.1189628118166719</v>
      </c>
      <c r="W43" s="7"/>
    </row>
    <row r="44" spans="2:24">
      <c r="B44" s="6"/>
      <c r="C44" s="24" t="s">
        <v>86</v>
      </c>
      <c r="D44" s="31"/>
      <c r="E44" s="31"/>
      <c r="F44" s="31"/>
      <c r="G44" s="72">
        <v>52366</v>
      </c>
      <c r="H44" s="72">
        <v>52366</v>
      </c>
      <c r="I44" s="72">
        <v>52366</v>
      </c>
      <c r="J44" s="72">
        <v>52366</v>
      </c>
      <c r="K44" s="72">
        <v>52366</v>
      </c>
      <c r="L44" s="72">
        <v>52366</v>
      </c>
      <c r="M44" s="72">
        <v>52366</v>
      </c>
      <c r="N44" s="72">
        <v>52366</v>
      </c>
      <c r="O44" s="72">
        <v>52366</v>
      </c>
      <c r="P44" s="72">
        <v>52366</v>
      </c>
      <c r="Q44" s="72">
        <v>52366</v>
      </c>
      <c r="R44" s="72">
        <v>52366</v>
      </c>
      <c r="S44" s="72">
        <v>52366</v>
      </c>
      <c r="T44" s="73">
        <v>52366</v>
      </c>
      <c r="U44" s="73">
        <v>52366</v>
      </c>
      <c r="V44" s="74">
        <v>52366</v>
      </c>
      <c r="W44" s="7"/>
    </row>
    <row r="45" spans="2:24">
      <c r="B45" s="6"/>
      <c r="C45" s="34" t="s">
        <v>87</v>
      </c>
      <c r="D45" s="35"/>
      <c r="E45" s="35"/>
      <c r="F45" s="35"/>
      <c r="G45" s="72">
        <v>45427</v>
      </c>
      <c r="H45" s="72">
        <v>45427</v>
      </c>
      <c r="I45" s="72">
        <v>45427</v>
      </c>
      <c r="J45" s="72">
        <v>45427</v>
      </c>
      <c r="K45" s="72">
        <v>46157</v>
      </c>
      <c r="L45" s="72">
        <v>46157</v>
      </c>
      <c r="M45" s="72">
        <v>46157</v>
      </c>
      <c r="N45" s="72">
        <v>46157</v>
      </c>
      <c r="O45" s="72">
        <v>46157</v>
      </c>
      <c r="P45" s="72">
        <v>46157</v>
      </c>
      <c r="Q45" s="72">
        <v>46157</v>
      </c>
      <c r="R45" s="72">
        <v>46157</v>
      </c>
      <c r="S45" s="72">
        <v>46157</v>
      </c>
      <c r="T45" s="73">
        <v>46157</v>
      </c>
      <c r="U45" s="73">
        <v>46157</v>
      </c>
      <c r="V45" s="74">
        <v>46157</v>
      </c>
      <c r="W45" s="7"/>
    </row>
    <row r="46" spans="2:24">
      <c r="B46" s="6"/>
      <c r="C46" s="34" t="s">
        <v>88</v>
      </c>
      <c r="D46" s="35"/>
      <c r="E46" s="35"/>
      <c r="F46" s="35"/>
      <c r="G46" s="46">
        <v>8.3669999999999994E-2</v>
      </c>
      <c r="H46" s="46">
        <f>G46</f>
        <v>8.3669999999999994E-2</v>
      </c>
      <c r="I46" s="46">
        <f t="shared" ref="I46:V46" si="14">H46</f>
        <v>8.3669999999999994E-2</v>
      </c>
      <c r="J46" s="46">
        <f t="shared" si="14"/>
        <v>8.3669999999999994E-2</v>
      </c>
      <c r="K46" s="46">
        <f t="shared" si="14"/>
        <v>8.3669999999999994E-2</v>
      </c>
      <c r="L46" s="46">
        <f t="shared" si="14"/>
        <v>8.3669999999999994E-2</v>
      </c>
      <c r="M46" s="46">
        <f t="shared" si="14"/>
        <v>8.3669999999999994E-2</v>
      </c>
      <c r="N46" s="46">
        <f t="shared" si="14"/>
        <v>8.3669999999999994E-2</v>
      </c>
      <c r="O46" s="46">
        <f t="shared" si="14"/>
        <v>8.3669999999999994E-2</v>
      </c>
      <c r="P46" s="46">
        <f t="shared" si="14"/>
        <v>8.3669999999999994E-2</v>
      </c>
      <c r="Q46" s="46">
        <f t="shared" si="14"/>
        <v>8.3669999999999994E-2</v>
      </c>
      <c r="R46" s="46">
        <f t="shared" si="14"/>
        <v>8.3669999999999994E-2</v>
      </c>
      <c r="S46" s="46">
        <f t="shared" si="14"/>
        <v>8.3669999999999994E-2</v>
      </c>
      <c r="T46" s="46">
        <f t="shared" si="14"/>
        <v>8.3669999999999994E-2</v>
      </c>
      <c r="U46" s="46">
        <f t="shared" si="14"/>
        <v>8.3669999999999994E-2</v>
      </c>
      <c r="V46" s="49">
        <f t="shared" si="14"/>
        <v>8.3669999999999994E-2</v>
      </c>
      <c r="W46" s="7"/>
    </row>
    <row r="47" spans="2:24">
      <c r="B47" s="6"/>
      <c r="C47" s="34" t="s">
        <v>89</v>
      </c>
      <c r="D47" s="35"/>
      <c r="E47" s="35"/>
      <c r="F47" s="35"/>
      <c r="G47" s="46">
        <f t="shared" ref="G47" si="15">G46+G27</f>
        <v>9.9169999999999994E-2</v>
      </c>
      <c r="H47" s="46">
        <f>H46+H27</f>
        <v>0.10067</v>
      </c>
      <c r="I47" s="46">
        <f t="shared" ref="I47:N47" si="16">I46+I27</f>
        <v>9.8669999999999994E-2</v>
      </c>
      <c r="J47" s="46">
        <f t="shared" si="16"/>
        <v>9.8169999999999993E-2</v>
      </c>
      <c r="K47" s="46">
        <f t="shared" si="16"/>
        <v>0.10566999999999999</v>
      </c>
      <c r="L47" s="46">
        <f t="shared" si="16"/>
        <v>0.10716999999999999</v>
      </c>
      <c r="M47" s="46">
        <f t="shared" si="16"/>
        <v>0.10866999999999999</v>
      </c>
      <c r="N47" s="46">
        <f t="shared" si="16"/>
        <v>0.10716999999999999</v>
      </c>
      <c r="O47" s="57">
        <f>O30</f>
        <v>0.10235</v>
      </c>
      <c r="P47" s="46">
        <f t="shared" ref="P47:V47" si="17">P46+P27</f>
        <v>0.10866999999999999</v>
      </c>
      <c r="Q47" s="46">
        <f t="shared" si="17"/>
        <v>0.11107</v>
      </c>
      <c r="R47" s="46">
        <f t="shared" si="17"/>
        <v>0.11116999999999999</v>
      </c>
      <c r="S47" s="46">
        <f t="shared" si="17"/>
        <v>0.12167</v>
      </c>
      <c r="T47" s="48">
        <f t="shared" si="17"/>
        <v>0.12367</v>
      </c>
      <c r="U47" s="48">
        <f t="shared" si="17"/>
        <v>0.12067</v>
      </c>
      <c r="V47" s="49">
        <f t="shared" si="17"/>
        <v>0.12067</v>
      </c>
      <c r="W47" s="7"/>
    </row>
    <row r="48" spans="2:24">
      <c r="B48" s="6"/>
      <c r="C48" s="24" t="s">
        <v>90</v>
      </c>
      <c r="D48" s="31"/>
      <c r="E48" s="31"/>
      <c r="F48" s="31"/>
      <c r="G48" s="75" t="s">
        <v>91</v>
      </c>
      <c r="H48" s="75" t="s">
        <v>91</v>
      </c>
      <c r="I48" s="75" t="s">
        <v>91</v>
      </c>
      <c r="J48" s="75" t="s">
        <v>91</v>
      </c>
      <c r="K48" s="75" t="s">
        <v>92</v>
      </c>
      <c r="L48" s="75" t="s">
        <v>92</v>
      </c>
      <c r="M48" s="75" t="s">
        <v>92</v>
      </c>
      <c r="N48" s="75" t="s">
        <v>92</v>
      </c>
      <c r="O48" s="75" t="s">
        <v>92</v>
      </c>
      <c r="P48" s="75" t="s">
        <v>362</v>
      </c>
      <c r="Q48" s="75" t="s">
        <v>362</v>
      </c>
      <c r="R48" s="75" t="s">
        <v>93</v>
      </c>
      <c r="S48" s="75" t="s">
        <v>94</v>
      </c>
      <c r="T48" s="76" t="s">
        <v>94</v>
      </c>
      <c r="U48" s="76" t="s">
        <v>94</v>
      </c>
      <c r="V48" s="77" t="s">
        <v>94</v>
      </c>
      <c r="W48" s="7"/>
    </row>
    <row r="49" spans="2:32" ht="15" thickBot="1">
      <c r="B49" s="6"/>
      <c r="C49" s="78" t="s">
        <v>95</v>
      </c>
      <c r="D49" s="79"/>
      <c r="E49" s="79"/>
      <c r="F49" s="79"/>
      <c r="G49" s="80" t="str">
        <f t="shared" ref="G49:O49" si="18">G48</f>
        <v>AAA(za)(sf)</v>
      </c>
      <c r="H49" s="80" t="str">
        <f t="shared" si="18"/>
        <v>AAA(za)(sf)</v>
      </c>
      <c r="I49" s="80" t="str">
        <f>I48</f>
        <v>AAA(za)(sf)</v>
      </c>
      <c r="J49" s="80" t="str">
        <f>J48</f>
        <v>AAA(za)(sf)</v>
      </c>
      <c r="K49" s="80" t="str">
        <f t="shared" si="18"/>
        <v>AA+(za)(sf)</v>
      </c>
      <c r="L49" s="80" t="str">
        <f t="shared" si="18"/>
        <v>AA+(za)(sf)</v>
      </c>
      <c r="M49" s="80" t="str">
        <f t="shared" si="18"/>
        <v>AA+(za)(sf)</v>
      </c>
      <c r="N49" s="80" t="str">
        <f t="shared" si="18"/>
        <v>AA+(za)(sf)</v>
      </c>
      <c r="O49" s="80" t="str">
        <f t="shared" si="18"/>
        <v>AA+(za)(sf)</v>
      </c>
      <c r="P49" s="80" t="s">
        <v>93</v>
      </c>
      <c r="Q49" s="80" t="s">
        <v>93</v>
      </c>
      <c r="R49" s="80" t="s">
        <v>93</v>
      </c>
      <c r="S49" s="80" t="s">
        <v>96</v>
      </c>
      <c r="T49" s="81" t="s">
        <v>96</v>
      </c>
      <c r="U49" s="81" t="s">
        <v>96</v>
      </c>
      <c r="V49" s="82" t="s">
        <v>96</v>
      </c>
      <c r="W49" s="7"/>
      <c r="AE49" s="8"/>
    </row>
    <row r="50" spans="2:32" ht="15" thickBot="1">
      <c r="B50" s="6"/>
      <c r="C50" s="9"/>
      <c r="D50" s="9"/>
      <c r="E50" s="9"/>
      <c r="F50" s="9"/>
      <c r="G50" s="9"/>
      <c r="H50" s="9"/>
      <c r="I50" s="9"/>
      <c r="J50" s="9"/>
      <c r="K50" s="9"/>
      <c r="L50" s="9"/>
      <c r="M50" s="9"/>
      <c r="N50" s="9"/>
      <c r="O50" s="9"/>
      <c r="P50" s="9"/>
      <c r="Q50" s="9"/>
      <c r="R50" s="9"/>
      <c r="S50" s="9"/>
      <c r="T50" s="9"/>
      <c r="U50" s="9"/>
      <c r="V50" s="9"/>
      <c r="W50" s="7"/>
      <c r="Y50" s="27"/>
    </row>
    <row r="51" spans="2:32">
      <c r="B51" s="6"/>
      <c r="C51" s="296" t="s">
        <v>97</v>
      </c>
      <c r="D51" s="297"/>
      <c r="E51" s="297"/>
      <c r="F51" s="297"/>
      <c r="G51" s="297"/>
      <c r="H51" s="297"/>
      <c r="I51" s="297"/>
      <c r="J51" s="297"/>
      <c r="K51" s="297"/>
      <c r="L51" s="297"/>
      <c r="M51" s="297"/>
      <c r="N51" s="297"/>
      <c r="O51" s="297"/>
      <c r="P51" s="297"/>
      <c r="Q51" s="297"/>
      <c r="R51" s="297"/>
      <c r="S51" s="297"/>
      <c r="T51" s="297"/>
      <c r="U51" s="297"/>
      <c r="V51" s="298"/>
      <c r="W51" s="7"/>
    </row>
    <row r="52" spans="2:32">
      <c r="B52" s="6"/>
      <c r="C52" s="388" t="s">
        <v>98</v>
      </c>
      <c r="D52" s="376"/>
      <c r="E52" s="376"/>
      <c r="F52" s="376"/>
      <c r="G52" s="376"/>
      <c r="H52" s="376"/>
      <c r="I52" s="376"/>
      <c r="J52" s="376"/>
      <c r="K52" s="376"/>
      <c r="L52" s="376"/>
      <c r="M52" s="376"/>
      <c r="N52" s="376"/>
      <c r="O52" s="376"/>
      <c r="P52" s="376"/>
      <c r="Q52" s="376"/>
      <c r="R52" s="376"/>
      <c r="S52" s="376"/>
      <c r="T52" s="376"/>
      <c r="U52" s="376"/>
      <c r="V52" s="377"/>
      <c r="W52" s="7"/>
      <c r="AC52" s="83"/>
    </row>
    <row r="53" spans="2:32">
      <c r="B53" s="6"/>
      <c r="C53" s="84" t="s">
        <v>99</v>
      </c>
      <c r="D53" s="85"/>
      <c r="E53" s="85"/>
      <c r="F53" s="85"/>
      <c r="G53" s="85"/>
      <c r="H53" s="85"/>
      <c r="I53" s="85"/>
      <c r="J53" s="85"/>
      <c r="K53" s="85"/>
      <c r="L53" s="85"/>
      <c r="M53" s="85"/>
      <c r="N53" s="85"/>
      <c r="O53" s="85"/>
      <c r="P53" s="85"/>
      <c r="Q53" s="85"/>
      <c r="R53" s="85"/>
      <c r="S53" s="401">
        <v>108114546.18682531</v>
      </c>
      <c r="T53" s="402"/>
      <c r="U53" s="402"/>
      <c r="V53" s="403"/>
      <c r="W53" s="7"/>
      <c r="Y53" s="83"/>
      <c r="Z53" s="86"/>
      <c r="AB53" s="87"/>
      <c r="AC53" s="83"/>
      <c r="AD53" s="83"/>
      <c r="AE53" s="83"/>
      <c r="AF53" s="88"/>
    </row>
    <row r="54" spans="2:32">
      <c r="B54" s="6"/>
      <c r="C54" s="24" t="s">
        <v>100</v>
      </c>
      <c r="D54" s="31"/>
      <c r="E54" s="31"/>
      <c r="F54" s="31"/>
      <c r="G54" s="31"/>
      <c r="H54" s="31"/>
      <c r="I54" s="31"/>
      <c r="J54" s="31"/>
      <c r="K54" s="31"/>
      <c r="L54" s="31"/>
      <c r="M54" s="31"/>
      <c r="N54" s="31"/>
      <c r="O54" s="31"/>
      <c r="P54" s="31"/>
      <c r="Q54" s="31"/>
      <c r="R54" s="31"/>
      <c r="S54" s="401">
        <v>68356164.966825336</v>
      </c>
      <c r="T54" s="402"/>
      <c r="U54" s="402"/>
      <c r="V54" s="403"/>
      <c r="W54" s="7"/>
      <c r="Y54" s="2"/>
      <c r="Z54" s="27"/>
      <c r="AB54" s="2"/>
      <c r="AE54" s="83"/>
      <c r="AF54" s="27"/>
    </row>
    <row r="55" spans="2:32">
      <c r="B55" s="6"/>
      <c r="C55" s="84" t="s">
        <v>101</v>
      </c>
      <c r="D55" s="85"/>
      <c r="E55" s="85"/>
      <c r="F55" s="85"/>
      <c r="G55" s="85"/>
      <c r="H55" s="85"/>
      <c r="I55" s="85"/>
      <c r="J55" s="85"/>
      <c r="K55" s="85"/>
      <c r="L55" s="85"/>
      <c r="M55" s="85"/>
      <c r="N55" s="85"/>
      <c r="O55" s="85"/>
      <c r="P55" s="85"/>
      <c r="Q55" s="85"/>
      <c r="R55" s="85"/>
      <c r="S55" s="393">
        <f>SUM(S56:T58)</f>
        <v>39758381.219999969</v>
      </c>
      <c r="T55" s="385"/>
      <c r="U55" s="385"/>
      <c r="V55" s="386"/>
      <c r="W55" s="7"/>
      <c r="Y55" s="2"/>
      <c r="Z55" s="27"/>
      <c r="AE55" s="83"/>
      <c r="AF55" s="27"/>
    </row>
    <row r="56" spans="2:32">
      <c r="B56" s="6"/>
      <c r="C56" s="71" t="s">
        <v>102</v>
      </c>
      <c r="D56" s="35"/>
      <c r="E56" s="35"/>
      <c r="F56" s="35"/>
      <c r="G56" s="35"/>
      <c r="H56" s="35"/>
      <c r="I56" s="35"/>
      <c r="J56" s="35"/>
      <c r="K56" s="35"/>
      <c r="L56" s="35"/>
      <c r="M56" s="35"/>
      <c r="N56" s="35"/>
      <c r="O56" s="35"/>
      <c r="P56" s="35"/>
      <c r="Q56" s="35"/>
      <c r="R56" s="35"/>
      <c r="S56" s="318">
        <f>S53-S54-T58</f>
        <v>2221120.4289999679</v>
      </c>
      <c r="T56" s="319"/>
      <c r="U56" s="319"/>
      <c r="V56" s="404"/>
      <c r="W56" s="7"/>
      <c r="Y56" s="2"/>
      <c r="AE56" s="91"/>
    </row>
    <row r="57" spans="2:32">
      <c r="B57" s="6"/>
      <c r="C57" s="71" t="s">
        <v>103</v>
      </c>
      <c r="D57" s="35"/>
      <c r="E57" s="35"/>
      <c r="F57" s="35"/>
      <c r="G57" s="35"/>
      <c r="H57" s="35"/>
      <c r="I57" s="35"/>
      <c r="J57" s="35"/>
      <c r="K57" s="35"/>
      <c r="L57" s="35"/>
      <c r="M57" s="35"/>
      <c r="N57" s="35"/>
      <c r="O57" s="35"/>
      <c r="P57" s="35"/>
      <c r="Q57" s="35"/>
      <c r="R57" s="35"/>
      <c r="S57" s="92"/>
      <c r="T57" s="93">
        <v>0</v>
      </c>
      <c r="U57" s="93"/>
      <c r="V57" s="7"/>
      <c r="W57" s="7"/>
      <c r="AE57" s="94"/>
      <c r="AF57" s="27"/>
    </row>
    <row r="58" spans="2:32">
      <c r="B58" s="6"/>
      <c r="C58" s="71" t="s">
        <v>104</v>
      </c>
      <c r="D58" s="35"/>
      <c r="E58" s="35"/>
      <c r="F58" s="35"/>
      <c r="G58" s="35"/>
      <c r="H58" s="35"/>
      <c r="I58" s="35"/>
      <c r="J58" s="35"/>
      <c r="K58" s="35"/>
      <c r="L58" s="35"/>
      <c r="M58" s="35"/>
      <c r="N58" s="35"/>
      <c r="O58" s="35"/>
      <c r="P58" s="35"/>
      <c r="Q58" s="35"/>
      <c r="R58" s="35"/>
      <c r="S58" s="95"/>
      <c r="T58" s="96">
        <v>37537260.791000001</v>
      </c>
      <c r="U58" s="96"/>
      <c r="V58" s="7"/>
      <c r="W58" s="7"/>
      <c r="Y58" s="97"/>
      <c r="AB58" s="2"/>
      <c r="AE58" s="98"/>
    </row>
    <row r="59" spans="2:32">
      <c r="B59" s="6"/>
      <c r="C59" s="388" t="s">
        <v>105</v>
      </c>
      <c r="D59" s="376"/>
      <c r="E59" s="376"/>
      <c r="F59" s="376"/>
      <c r="G59" s="376"/>
      <c r="H59" s="376"/>
      <c r="I59" s="376"/>
      <c r="J59" s="376"/>
      <c r="K59" s="376"/>
      <c r="L59" s="376"/>
      <c r="M59" s="376"/>
      <c r="N59" s="376"/>
      <c r="O59" s="376"/>
      <c r="P59" s="376"/>
      <c r="Q59" s="376"/>
      <c r="R59" s="376"/>
      <c r="S59" s="376"/>
      <c r="T59" s="376"/>
      <c r="U59" s="376"/>
      <c r="V59" s="377"/>
      <c r="W59" s="7"/>
      <c r="AE59" s="94"/>
    </row>
    <row r="60" spans="2:32">
      <c r="B60" s="6"/>
      <c r="C60" s="84" t="s">
        <v>106</v>
      </c>
      <c r="D60" s="85"/>
      <c r="E60" s="85"/>
      <c r="F60" s="85"/>
      <c r="G60" s="85"/>
      <c r="H60" s="85"/>
      <c r="I60" s="85"/>
      <c r="J60" s="85"/>
      <c r="K60" s="85"/>
      <c r="L60" s="85"/>
      <c r="M60" s="85"/>
      <c r="N60" s="85"/>
      <c r="O60" s="85"/>
      <c r="P60" s="85"/>
      <c r="Q60" s="85"/>
      <c r="R60" s="85"/>
      <c r="S60" s="393">
        <f>SUM(L61:T62)</f>
        <v>0</v>
      </c>
      <c r="T60" s="385"/>
      <c r="U60" s="385"/>
      <c r="V60" s="386"/>
      <c r="W60" s="7"/>
      <c r="Y60" s="2"/>
      <c r="AE60" s="99"/>
      <c r="AF60" s="100"/>
    </row>
    <row r="61" spans="2:32">
      <c r="B61" s="6"/>
      <c r="C61" s="71" t="s">
        <v>107</v>
      </c>
      <c r="D61" s="35"/>
      <c r="E61" s="35"/>
      <c r="F61" s="35"/>
      <c r="G61" s="35"/>
      <c r="H61" s="35"/>
      <c r="I61" s="35"/>
      <c r="J61" s="35"/>
      <c r="K61" s="35"/>
      <c r="L61" s="35"/>
      <c r="M61" s="35"/>
      <c r="N61" s="35"/>
      <c r="O61" s="35"/>
      <c r="P61" s="35"/>
      <c r="Q61" s="35"/>
      <c r="R61" s="35"/>
      <c r="S61" s="92"/>
      <c r="T61" s="93">
        <v>0</v>
      </c>
      <c r="U61" s="93"/>
      <c r="V61" s="101"/>
      <c r="W61" s="7"/>
    </row>
    <row r="62" spans="2:32">
      <c r="B62" s="6"/>
      <c r="C62" s="71" t="s">
        <v>108</v>
      </c>
      <c r="D62" s="35"/>
      <c r="E62" s="35"/>
      <c r="F62" s="35"/>
      <c r="G62" s="35"/>
      <c r="H62" s="35"/>
      <c r="I62" s="35"/>
      <c r="J62" s="35"/>
      <c r="K62" s="35"/>
      <c r="L62" s="35"/>
      <c r="M62" s="35"/>
      <c r="N62" s="35"/>
      <c r="O62" s="35"/>
      <c r="P62" s="35"/>
      <c r="Q62" s="35"/>
      <c r="R62" s="102"/>
      <c r="S62" s="103"/>
      <c r="T62" s="96">
        <v>0</v>
      </c>
      <c r="U62" s="96"/>
      <c r="V62" s="101"/>
      <c r="W62" s="7"/>
    </row>
    <row r="63" spans="2:32">
      <c r="B63" s="6"/>
      <c r="C63" s="84" t="s">
        <v>109</v>
      </c>
      <c r="D63" s="85"/>
      <c r="E63" s="85"/>
      <c r="F63" s="85"/>
      <c r="G63" s="85"/>
      <c r="H63" s="85"/>
      <c r="I63" s="85"/>
      <c r="J63" s="85"/>
      <c r="K63" s="85"/>
      <c r="L63" s="85"/>
      <c r="M63" s="85"/>
      <c r="N63" s="85"/>
      <c r="O63" s="85"/>
      <c r="P63" s="85"/>
      <c r="Q63" s="85"/>
      <c r="R63" s="104"/>
      <c r="S63" s="394">
        <f>SUM(K64:T65)</f>
        <v>1815979.8800000001</v>
      </c>
      <c r="T63" s="394"/>
      <c r="U63" s="394"/>
      <c r="V63" s="395"/>
      <c r="W63" s="7"/>
      <c r="Z63" s="27"/>
    </row>
    <row r="64" spans="2:32">
      <c r="B64" s="6"/>
      <c r="C64" s="71" t="s">
        <v>110</v>
      </c>
      <c r="D64" s="35"/>
      <c r="E64" s="35"/>
      <c r="F64" s="35"/>
      <c r="G64" s="35"/>
      <c r="H64" s="35"/>
      <c r="I64" s="35"/>
      <c r="J64" s="35"/>
      <c r="K64" s="35"/>
      <c r="L64" s="35"/>
      <c r="M64" s="35"/>
      <c r="N64" s="35"/>
      <c r="O64" s="35"/>
      <c r="P64" s="35"/>
      <c r="Q64" s="35"/>
      <c r="R64" s="35"/>
      <c r="S64" s="92"/>
      <c r="T64" s="96">
        <v>10358.709999999999</v>
      </c>
      <c r="U64" s="96"/>
      <c r="V64" s="101"/>
      <c r="W64" s="7"/>
    </row>
    <row r="65" spans="2:32">
      <c r="B65" s="6"/>
      <c r="C65" s="105" t="s">
        <v>111</v>
      </c>
      <c r="D65" s="106"/>
      <c r="E65" s="106"/>
      <c r="F65" s="106"/>
      <c r="G65" s="106"/>
      <c r="H65" s="106"/>
      <c r="I65" s="106"/>
      <c r="J65" s="106"/>
      <c r="K65" s="106"/>
      <c r="L65" s="106"/>
      <c r="M65" s="106"/>
      <c r="N65" s="106"/>
      <c r="O65" s="106"/>
      <c r="P65" s="106"/>
      <c r="Q65" s="106"/>
      <c r="R65" s="106"/>
      <c r="S65" s="95"/>
      <c r="T65" s="96">
        <v>1805621.1700000002</v>
      </c>
      <c r="U65" s="96"/>
      <c r="V65" s="101"/>
      <c r="W65" s="7"/>
      <c r="Y65" s="2"/>
    </row>
    <row r="66" spans="2:32">
      <c r="B66" s="6"/>
      <c r="C66" s="84" t="s">
        <v>112</v>
      </c>
      <c r="D66" s="85"/>
      <c r="E66" s="85"/>
      <c r="F66" s="85"/>
      <c r="G66" s="85"/>
      <c r="H66" s="85"/>
      <c r="I66" s="85"/>
      <c r="J66" s="85"/>
      <c r="K66" s="85"/>
      <c r="L66" s="85"/>
      <c r="M66" s="85"/>
      <c r="N66" s="85"/>
      <c r="O66" s="85"/>
      <c r="P66" s="85"/>
      <c r="Q66" s="85"/>
      <c r="R66" s="85"/>
      <c r="S66" s="396">
        <f>SUM(T67:T69,T72,T75:T80)</f>
        <v>85045525.050000012</v>
      </c>
      <c r="T66" s="397"/>
      <c r="U66" s="397"/>
      <c r="V66" s="398"/>
      <c r="W66" s="7"/>
      <c r="Z66" s="27"/>
      <c r="AB66" s="8"/>
    </row>
    <row r="67" spans="2:32">
      <c r="B67" s="6"/>
      <c r="C67" s="71" t="s">
        <v>113</v>
      </c>
      <c r="D67" s="35"/>
      <c r="E67" s="35"/>
      <c r="F67" s="35"/>
      <c r="G67" s="35"/>
      <c r="H67" s="35"/>
      <c r="I67" s="35"/>
      <c r="J67" s="35"/>
      <c r="K67" s="35"/>
      <c r="L67" s="35"/>
      <c r="M67" s="35"/>
      <c r="N67" s="35"/>
      <c r="O67" s="35"/>
      <c r="P67" s="35"/>
      <c r="Q67" s="35"/>
      <c r="R67" s="35"/>
      <c r="S67" s="92"/>
      <c r="T67" s="96">
        <f>'Servicer Report'!J39</f>
        <v>11546605.529999999</v>
      </c>
      <c r="U67" s="93"/>
      <c r="V67" s="107"/>
      <c r="W67" s="7"/>
      <c r="Y67" s="2"/>
      <c r="Z67" s="27"/>
    </row>
    <row r="68" spans="2:32">
      <c r="B68" s="6"/>
      <c r="C68" s="71" t="s">
        <v>114</v>
      </c>
      <c r="D68" s="35"/>
      <c r="E68" s="35"/>
      <c r="F68" s="35"/>
      <c r="G68" s="35"/>
      <c r="H68" s="35"/>
      <c r="I68" s="35"/>
      <c r="J68" s="35"/>
      <c r="K68" s="35"/>
      <c r="L68" s="35"/>
      <c r="M68" s="35"/>
      <c r="N68" s="35"/>
      <c r="O68" s="35"/>
      <c r="P68" s="35"/>
      <c r="Q68" s="35"/>
      <c r="R68" s="35"/>
      <c r="S68" s="92"/>
      <c r="T68" s="96">
        <f>'Servicer Report'!J42</f>
        <v>7166954.6900000004</v>
      </c>
      <c r="U68" s="93"/>
      <c r="V68" s="107"/>
      <c r="W68" s="7"/>
    </row>
    <row r="69" spans="2:32">
      <c r="B69" s="6"/>
      <c r="C69" s="71" t="s">
        <v>115</v>
      </c>
      <c r="D69" s="35"/>
      <c r="E69" s="35"/>
      <c r="F69" s="35"/>
      <c r="G69" s="35"/>
      <c r="H69" s="35"/>
      <c r="I69" s="35"/>
      <c r="J69" s="35"/>
      <c r="K69" s="35"/>
      <c r="L69" s="35"/>
      <c r="M69" s="35"/>
      <c r="N69" s="35"/>
      <c r="O69" s="35"/>
      <c r="P69" s="35"/>
      <c r="Q69" s="35"/>
      <c r="R69" s="35"/>
      <c r="S69" s="92"/>
      <c r="T69" s="93">
        <f>SUM(S70:S71)</f>
        <v>0</v>
      </c>
      <c r="U69" s="93"/>
      <c r="V69" s="107"/>
      <c r="W69" s="7"/>
      <c r="Y69" s="8"/>
    </row>
    <row r="70" spans="2:32">
      <c r="B70" s="6"/>
      <c r="C70" s="108" t="s">
        <v>116</v>
      </c>
      <c r="D70" s="35"/>
      <c r="E70" s="35"/>
      <c r="F70" s="35"/>
      <c r="G70" s="35"/>
      <c r="H70" s="35"/>
      <c r="I70" s="35"/>
      <c r="J70" s="35"/>
      <c r="K70" s="35"/>
      <c r="L70" s="35"/>
      <c r="M70" s="35"/>
      <c r="N70" s="35"/>
      <c r="O70" s="35"/>
      <c r="P70" s="35"/>
      <c r="Q70" s="35"/>
      <c r="R70" s="35"/>
      <c r="S70" s="92">
        <v>0</v>
      </c>
      <c r="T70" s="109"/>
      <c r="U70" s="109"/>
      <c r="V70" s="107"/>
      <c r="W70" s="7"/>
    </row>
    <row r="71" spans="2:32">
      <c r="B71" s="6"/>
      <c r="C71" s="108" t="s">
        <v>117</v>
      </c>
      <c r="D71" s="35"/>
      <c r="E71" s="35"/>
      <c r="F71" s="35"/>
      <c r="G71" s="35"/>
      <c r="H71" s="35"/>
      <c r="I71" s="35"/>
      <c r="J71" s="35"/>
      <c r="K71" s="35"/>
      <c r="L71" s="35"/>
      <c r="M71" s="35"/>
      <c r="N71" s="35"/>
      <c r="O71" s="35"/>
      <c r="P71" s="35"/>
      <c r="Q71" s="35"/>
      <c r="R71" s="35"/>
      <c r="S71" s="92">
        <v>0</v>
      </c>
      <c r="T71" s="109"/>
      <c r="U71" s="109"/>
      <c r="V71" s="107"/>
      <c r="W71" s="7"/>
    </row>
    <row r="72" spans="2:32">
      <c r="B72" s="6"/>
      <c r="C72" s="71" t="s">
        <v>118</v>
      </c>
      <c r="D72" s="35"/>
      <c r="E72" s="35"/>
      <c r="F72" s="35"/>
      <c r="G72" s="35"/>
      <c r="H72" s="35"/>
      <c r="I72" s="35"/>
      <c r="J72" s="35"/>
      <c r="K72" s="35"/>
      <c r="L72" s="35"/>
      <c r="M72" s="35"/>
      <c r="N72" s="35"/>
      <c r="O72" s="35"/>
      <c r="P72" s="35"/>
      <c r="Q72" s="35"/>
      <c r="R72" s="35"/>
      <c r="S72" s="92"/>
      <c r="T72" s="93">
        <f>SUM(S73:S74)</f>
        <v>0</v>
      </c>
      <c r="U72" s="93"/>
      <c r="V72" s="107"/>
      <c r="W72" s="7"/>
    </row>
    <row r="73" spans="2:32">
      <c r="B73" s="6"/>
      <c r="C73" s="108" t="s">
        <v>116</v>
      </c>
      <c r="D73" s="35"/>
      <c r="E73" s="35"/>
      <c r="F73" s="35"/>
      <c r="G73" s="35"/>
      <c r="H73" s="35"/>
      <c r="I73" s="35"/>
      <c r="J73" s="35"/>
      <c r="K73" s="35"/>
      <c r="L73" s="35"/>
      <c r="M73" s="35"/>
      <c r="N73" s="35"/>
      <c r="O73" s="35"/>
      <c r="P73" s="35"/>
      <c r="Q73" s="35"/>
      <c r="R73" s="35"/>
      <c r="S73" s="92">
        <v>0</v>
      </c>
      <c r="T73" s="109"/>
      <c r="U73" s="109"/>
      <c r="V73" s="107"/>
      <c r="W73" s="7"/>
    </row>
    <row r="74" spans="2:32">
      <c r="B74" s="6"/>
      <c r="C74" s="108" t="s">
        <v>117</v>
      </c>
      <c r="D74" s="35"/>
      <c r="E74" s="35"/>
      <c r="F74" s="35"/>
      <c r="G74" s="35"/>
      <c r="H74" s="35"/>
      <c r="I74" s="35"/>
      <c r="J74" s="35"/>
      <c r="K74" s="35"/>
      <c r="L74" s="35"/>
      <c r="M74" s="35"/>
      <c r="N74" s="35"/>
      <c r="O74" s="35"/>
      <c r="P74" s="35"/>
      <c r="Q74" s="35"/>
      <c r="R74" s="35"/>
      <c r="S74" s="92">
        <v>0</v>
      </c>
      <c r="T74" s="109"/>
      <c r="U74" s="109"/>
      <c r="V74" s="107"/>
      <c r="W74" s="7"/>
      <c r="AC74" s="27"/>
    </row>
    <row r="75" spans="2:32">
      <c r="B75" s="6"/>
      <c r="C75" s="71" t="s">
        <v>119</v>
      </c>
      <c r="D75" s="35"/>
      <c r="E75" s="35"/>
      <c r="F75" s="35"/>
      <c r="G75" s="35"/>
      <c r="H75" s="35"/>
      <c r="I75" s="35"/>
      <c r="J75" s="35"/>
      <c r="K75" s="35"/>
      <c r="L75" s="35"/>
      <c r="M75" s="35"/>
      <c r="N75" s="35"/>
      <c r="O75" s="35"/>
      <c r="P75" s="35"/>
      <c r="Q75" s="35"/>
      <c r="R75" s="35"/>
      <c r="S75" s="92"/>
      <c r="T75" s="93">
        <f>SUM(S76:S77)</f>
        <v>12889050.08</v>
      </c>
      <c r="U75" s="93"/>
      <c r="V75" s="107"/>
      <c r="W75" s="7"/>
      <c r="Z75" s="27"/>
    </row>
    <row r="76" spans="2:32">
      <c r="B76" s="6"/>
      <c r="C76" s="108" t="s">
        <v>120</v>
      </c>
      <c r="D76" s="35"/>
      <c r="E76" s="35"/>
      <c r="F76" s="35"/>
      <c r="G76" s="35"/>
      <c r="H76" s="35"/>
      <c r="I76" s="35"/>
      <c r="J76" s="35"/>
      <c r="K76" s="35"/>
      <c r="L76" s="35"/>
      <c r="M76" s="35"/>
      <c r="N76" s="35"/>
      <c r="O76" s="35"/>
      <c r="P76" s="35"/>
      <c r="Q76" s="35"/>
      <c r="R76" s="35"/>
      <c r="S76" s="92">
        <f>'Servicer Report'!J46</f>
        <v>0</v>
      </c>
      <c r="T76" s="109"/>
      <c r="U76" s="109"/>
      <c r="V76" s="107"/>
      <c r="W76" s="7"/>
      <c r="AC76" s="83"/>
    </row>
    <row r="77" spans="2:32">
      <c r="B77" s="6"/>
      <c r="C77" s="108" t="s">
        <v>121</v>
      </c>
      <c r="D77" s="35"/>
      <c r="E77" s="35"/>
      <c r="F77" s="35"/>
      <c r="G77" s="35"/>
      <c r="H77" s="35"/>
      <c r="I77" s="35"/>
      <c r="J77" s="35"/>
      <c r="K77" s="35"/>
      <c r="L77" s="35"/>
      <c r="M77" s="35"/>
      <c r="N77" s="35"/>
      <c r="O77" s="35"/>
      <c r="P77" s="35"/>
      <c r="Q77" s="35"/>
      <c r="R77" s="35"/>
      <c r="S77" s="92">
        <f>'Servicer Report'!J47</f>
        <v>12889050.08</v>
      </c>
      <c r="T77" s="109"/>
      <c r="U77" s="109"/>
      <c r="V77" s="107"/>
      <c r="W77" s="7"/>
      <c r="AC77" s="83"/>
    </row>
    <row r="78" spans="2:32">
      <c r="B78" s="6"/>
      <c r="C78" s="71" t="s">
        <v>122</v>
      </c>
      <c r="D78" s="35"/>
      <c r="E78" s="35"/>
      <c r="F78" s="35"/>
      <c r="G78" s="35"/>
      <c r="H78" s="35"/>
      <c r="I78" s="35"/>
      <c r="J78" s="35"/>
      <c r="K78" s="35"/>
      <c r="L78" s="35"/>
      <c r="M78" s="35"/>
      <c r="N78" s="35"/>
      <c r="O78" s="35"/>
      <c r="P78" s="35"/>
      <c r="Q78" s="35"/>
      <c r="R78" s="35"/>
      <c r="S78" s="92"/>
      <c r="T78" s="96">
        <f>'Servicer Report'!J40</f>
        <v>53247927.250000007</v>
      </c>
      <c r="U78" s="93"/>
      <c r="V78" s="107"/>
      <c r="W78" s="7"/>
      <c r="Z78" s="27"/>
      <c r="AC78" s="83"/>
      <c r="AF78" s="8"/>
    </row>
    <row r="79" spans="2:32">
      <c r="B79" s="6"/>
      <c r="C79" s="71" t="s">
        <v>123</v>
      </c>
      <c r="D79" s="35"/>
      <c r="E79" s="35"/>
      <c r="F79" s="35"/>
      <c r="G79" s="35"/>
      <c r="H79" s="35"/>
      <c r="I79" s="35"/>
      <c r="J79" s="35"/>
      <c r="K79" s="35"/>
      <c r="L79" s="35"/>
      <c r="M79" s="35"/>
      <c r="N79" s="35"/>
      <c r="O79" s="35"/>
      <c r="P79" s="35"/>
      <c r="Q79" s="35"/>
      <c r="R79" s="35"/>
      <c r="S79" s="92">
        <f>'Servicer Report'!J41</f>
        <v>0</v>
      </c>
      <c r="T79" s="93"/>
      <c r="U79" s="93"/>
      <c r="V79" s="107"/>
      <c r="W79" s="7"/>
      <c r="Y79" s="27"/>
      <c r="AC79" s="83"/>
      <c r="AF79" s="8"/>
    </row>
    <row r="80" spans="2:32">
      <c r="B80" s="6"/>
      <c r="C80" s="105" t="s">
        <v>124</v>
      </c>
      <c r="D80" s="106"/>
      <c r="E80" s="106"/>
      <c r="F80" s="106"/>
      <c r="G80" s="106"/>
      <c r="H80" s="106"/>
      <c r="I80" s="106"/>
      <c r="J80" s="106"/>
      <c r="K80" s="106"/>
      <c r="L80" s="106"/>
      <c r="M80" s="106"/>
      <c r="N80" s="106"/>
      <c r="O80" s="106"/>
      <c r="P80" s="106"/>
      <c r="Q80" s="106"/>
      <c r="R80" s="106"/>
      <c r="S80" s="95"/>
      <c r="T80" s="110">
        <v>194987.5</v>
      </c>
      <c r="U80" s="103"/>
      <c r="V80" s="111"/>
      <c r="W80" s="7"/>
    </row>
    <row r="81" spans="2:31">
      <c r="B81" s="6"/>
      <c r="C81" s="112" t="s">
        <v>125</v>
      </c>
      <c r="D81" s="85"/>
      <c r="E81" s="85"/>
      <c r="F81" s="85"/>
      <c r="G81" s="85"/>
      <c r="H81" s="85"/>
      <c r="I81" s="85"/>
      <c r="J81" s="85"/>
      <c r="K81" s="85"/>
      <c r="L81" s="85"/>
      <c r="M81" s="85"/>
      <c r="N81" s="85"/>
      <c r="O81" s="85"/>
      <c r="P81" s="85"/>
      <c r="Q81" s="85"/>
      <c r="R81" s="104"/>
      <c r="S81" s="399">
        <v>0</v>
      </c>
      <c r="T81" s="399"/>
      <c r="U81" s="399"/>
      <c r="V81" s="400"/>
      <c r="W81" s="7"/>
    </row>
    <row r="82" spans="2:31">
      <c r="B82" s="6"/>
      <c r="C82" s="388" t="s">
        <v>126</v>
      </c>
      <c r="D82" s="376"/>
      <c r="E82" s="376"/>
      <c r="F82" s="376"/>
      <c r="G82" s="376"/>
      <c r="H82" s="376"/>
      <c r="I82" s="376"/>
      <c r="J82" s="376"/>
      <c r="K82" s="376"/>
      <c r="L82" s="376"/>
      <c r="M82" s="376"/>
      <c r="N82" s="376"/>
      <c r="O82" s="376"/>
      <c r="P82" s="376"/>
      <c r="Q82" s="376"/>
      <c r="R82" s="376"/>
      <c r="S82" s="376"/>
      <c r="T82" s="376"/>
      <c r="U82" s="376"/>
      <c r="V82" s="377"/>
      <c r="W82" s="7"/>
    </row>
    <row r="83" spans="2:31">
      <c r="B83" s="6"/>
      <c r="C83" s="112" t="s">
        <v>127</v>
      </c>
      <c r="D83" s="85"/>
      <c r="E83" s="85"/>
      <c r="F83" s="85"/>
      <c r="G83" s="85"/>
      <c r="H83" s="85"/>
      <c r="I83" s="85"/>
      <c r="J83" s="85"/>
      <c r="K83" s="85"/>
      <c r="L83" s="85"/>
      <c r="M83" s="85"/>
      <c r="N83" s="85"/>
      <c r="O83" s="85"/>
      <c r="P83" s="85"/>
      <c r="Q83" s="85"/>
      <c r="R83" s="85"/>
      <c r="S83" s="393">
        <f>SUM(S84:T86,S90:T93)</f>
        <v>20096773.48</v>
      </c>
      <c r="T83" s="385"/>
      <c r="U83" s="385"/>
      <c r="V83" s="386"/>
      <c r="W83" s="7"/>
      <c r="X83" s="86"/>
      <c r="Y83" s="97"/>
    </row>
    <row r="84" spans="2:31">
      <c r="B84" s="6"/>
      <c r="C84" s="71" t="s">
        <v>128</v>
      </c>
      <c r="D84" s="35"/>
      <c r="E84" s="35"/>
      <c r="F84" s="35"/>
      <c r="G84" s="35"/>
      <c r="H84" s="35"/>
      <c r="I84" s="35"/>
      <c r="J84" s="35"/>
      <c r="K84" s="35"/>
      <c r="L84" s="35"/>
      <c r="M84" s="35"/>
      <c r="N84" s="35"/>
      <c r="O84" s="35"/>
      <c r="P84" s="35"/>
      <c r="Q84" s="35"/>
      <c r="R84" s="35"/>
      <c r="S84" s="318">
        <v>0</v>
      </c>
      <c r="T84" s="319"/>
      <c r="U84" s="89"/>
      <c r="V84" s="113"/>
      <c r="W84" s="7"/>
      <c r="X84" s="83"/>
      <c r="Y84" s="8"/>
      <c r="Z84" s="27"/>
    </row>
    <row r="85" spans="2:31">
      <c r="B85" s="6"/>
      <c r="C85" s="71" t="s">
        <v>129</v>
      </c>
      <c r="D85" s="35"/>
      <c r="E85" s="35"/>
      <c r="F85" s="35"/>
      <c r="G85" s="35"/>
      <c r="H85" s="35"/>
      <c r="I85" s="35"/>
      <c r="J85" s="35"/>
      <c r="K85" s="35"/>
      <c r="L85" s="35"/>
      <c r="M85" s="35"/>
      <c r="N85" s="35"/>
      <c r="O85" s="35"/>
      <c r="P85" s="35"/>
      <c r="Q85" s="35"/>
      <c r="R85" s="35"/>
      <c r="S85" s="392">
        <v>262154.43</v>
      </c>
      <c r="T85" s="387"/>
      <c r="U85" s="114"/>
      <c r="V85" s="113"/>
      <c r="W85" s="7"/>
      <c r="Z85" s="8"/>
    </row>
    <row r="86" spans="2:31">
      <c r="B86" s="6"/>
      <c r="C86" s="71" t="s">
        <v>130</v>
      </c>
      <c r="D86" s="35"/>
      <c r="E86" s="35"/>
      <c r="F86" s="35"/>
      <c r="G86" s="35"/>
      <c r="H86" s="35"/>
      <c r="I86" s="35"/>
      <c r="J86" s="35"/>
      <c r="K86" s="35"/>
      <c r="L86" s="35"/>
      <c r="M86" s="35"/>
      <c r="N86" s="35"/>
      <c r="O86" s="35"/>
      <c r="P86" s="35"/>
      <c r="Q86" s="35"/>
      <c r="R86" s="35"/>
      <c r="S86" s="318">
        <f>SUM(S87:S89)</f>
        <v>13051260.390000001</v>
      </c>
      <c r="T86" s="319"/>
      <c r="U86" s="89"/>
      <c r="V86" s="113"/>
      <c r="W86" s="7"/>
    </row>
    <row r="87" spans="2:31">
      <c r="B87" s="6"/>
      <c r="C87" s="108" t="s">
        <v>131</v>
      </c>
      <c r="D87" s="35"/>
      <c r="E87" s="35"/>
      <c r="F87" s="35"/>
      <c r="G87" s="35"/>
      <c r="H87" s="35"/>
      <c r="I87" s="35"/>
      <c r="J87" s="35"/>
      <c r="K87" s="35"/>
      <c r="L87" s="35"/>
      <c r="M87" s="35"/>
      <c r="N87" s="35"/>
      <c r="O87" s="35"/>
      <c r="P87" s="35"/>
      <c r="Q87" s="35"/>
      <c r="R87" s="35"/>
      <c r="S87" s="92">
        <f>'Servicer Report'!J27</f>
        <v>0</v>
      </c>
      <c r="T87" s="115"/>
      <c r="U87" s="115"/>
      <c r="V87" s="113"/>
      <c r="W87" s="7"/>
      <c r="Y87" s="27"/>
      <c r="Z87" s="8"/>
    </row>
    <row r="88" spans="2:31">
      <c r="B88" s="6"/>
      <c r="C88" s="108" t="s">
        <v>132</v>
      </c>
      <c r="D88" s="35"/>
      <c r="E88" s="35"/>
      <c r="F88" s="35"/>
      <c r="G88" s="35"/>
      <c r="H88" s="35"/>
      <c r="I88" s="35"/>
      <c r="J88" s="35"/>
      <c r="K88" s="35"/>
      <c r="L88" s="35"/>
      <c r="M88" s="35"/>
      <c r="N88" s="35"/>
      <c r="O88" s="35"/>
      <c r="P88" s="35"/>
      <c r="Q88" s="35"/>
      <c r="R88" s="35"/>
      <c r="S88" s="92">
        <f>'Servicer Report'!J28</f>
        <v>13051260.390000001</v>
      </c>
      <c r="T88" s="115"/>
      <c r="U88" s="115"/>
      <c r="V88" s="113"/>
      <c r="W88" s="7"/>
    </row>
    <row r="89" spans="2:31">
      <c r="B89" s="6"/>
      <c r="C89" s="108" t="s">
        <v>133</v>
      </c>
      <c r="D89" s="35"/>
      <c r="E89" s="35"/>
      <c r="F89" s="35"/>
      <c r="G89" s="35"/>
      <c r="H89" s="35"/>
      <c r="I89" s="35"/>
      <c r="J89" s="35"/>
      <c r="K89" s="35"/>
      <c r="L89" s="35"/>
      <c r="M89" s="35"/>
      <c r="N89" s="35"/>
      <c r="O89" s="35"/>
      <c r="P89" s="35"/>
      <c r="Q89" s="35"/>
      <c r="R89" s="35"/>
      <c r="S89" s="92">
        <v>0</v>
      </c>
      <c r="T89" s="116"/>
      <c r="U89" s="116"/>
      <c r="V89" s="113"/>
      <c r="W89" s="7"/>
      <c r="Z89" s="2"/>
    </row>
    <row r="90" spans="2:31">
      <c r="B90" s="6"/>
      <c r="C90" s="71" t="s">
        <v>134</v>
      </c>
      <c r="D90" s="35"/>
      <c r="E90" s="35"/>
      <c r="F90" s="35"/>
      <c r="G90" s="35"/>
      <c r="H90" s="35"/>
      <c r="I90" s="35"/>
      <c r="J90" s="35"/>
      <c r="K90" s="35"/>
      <c r="L90" s="35"/>
      <c r="M90" s="35"/>
      <c r="N90" s="35"/>
      <c r="O90" s="35"/>
      <c r="P90" s="35"/>
      <c r="Q90" s="35"/>
      <c r="R90" s="35"/>
      <c r="S90" s="318">
        <f>'Servicer Report'!J30</f>
        <v>6783358.6600000001</v>
      </c>
      <c r="T90" s="319"/>
      <c r="U90" s="89"/>
      <c r="V90" s="113"/>
      <c r="W90" s="7"/>
      <c r="Z90" s="8"/>
    </row>
    <row r="91" spans="2:31">
      <c r="B91" s="6"/>
      <c r="C91" s="71" t="s">
        <v>135</v>
      </c>
      <c r="D91" s="35"/>
      <c r="E91" s="35"/>
      <c r="F91" s="35"/>
      <c r="G91" s="35"/>
      <c r="H91" s="35"/>
      <c r="I91" s="35"/>
      <c r="J91" s="35"/>
      <c r="K91" s="35"/>
      <c r="L91" s="35"/>
      <c r="M91" s="35"/>
      <c r="N91" s="35"/>
      <c r="O91" s="35"/>
      <c r="P91" s="35"/>
      <c r="Q91" s="35"/>
      <c r="R91" s="35"/>
      <c r="S91" s="318">
        <v>0</v>
      </c>
      <c r="T91" s="319"/>
      <c r="U91" s="89"/>
      <c r="V91" s="113"/>
      <c r="W91" s="7"/>
    </row>
    <row r="92" spans="2:31">
      <c r="B92" s="6"/>
      <c r="C92" s="71" t="s">
        <v>136</v>
      </c>
      <c r="D92" s="35"/>
      <c r="E92" s="35"/>
      <c r="F92" s="35"/>
      <c r="G92" s="35"/>
      <c r="H92" s="35"/>
      <c r="I92" s="35"/>
      <c r="J92" s="35"/>
      <c r="K92" s="35"/>
      <c r="L92" s="35"/>
      <c r="M92" s="35"/>
      <c r="N92" s="35"/>
      <c r="O92" s="35"/>
      <c r="P92" s="35"/>
      <c r="Q92" s="35"/>
      <c r="R92" s="35"/>
      <c r="S92" s="318">
        <v>0</v>
      </c>
      <c r="T92" s="319"/>
      <c r="U92" s="89"/>
      <c r="V92" s="113"/>
      <c r="W92" s="7"/>
      <c r="Z92" s="8"/>
    </row>
    <row r="93" spans="2:31">
      <c r="B93" s="6"/>
      <c r="C93" s="105" t="s">
        <v>137</v>
      </c>
      <c r="D93" s="106"/>
      <c r="E93" s="106"/>
      <c r="F93" s="106"/>
      <c r="G93" s="106"/>
      <c r="H93" s="106"/>
      <c r="I93" s="106"/>
      <c r="J93" s="106"/>
      <c r="K93" s="106"/>
      <c r="L93" s="106"/>
      <c r="M93" s="106"/>
      <c r="N93" s="106"/>
      <c r="O93" s="106"/>
      <c r="P93" s="106"/>
      <c r="Q93" s="106"/>
      <c r="R93" s="106"/>
      <c r="S93" s="333">
        <v>0</v>
      </c>
      <c r="T93" s="334"/>
      <c r="U93" s="117"/>
      <c r="V93" s="118"/>
      <c r="W93" s="7"/>
      <c r="Z93" s="8"/>
    </row>
    <row r="94" spans="2:31">
      <c r="B94" s="6"/>
      <c r="C94" s="388" t="s">
        <v>138</v>
      </c>
      <c r="D94" s="376"/>
      <c r="E94" s="376"/>
      <c r="F94" s="376"/>
      <c r="G94" s="376"/>
      <c r="H94" s="376"/>
      <c r="I94" s="376"/>
      <c r="J94" s="376"/>
      <c r="K94" s="376"/>
      <c r="L94" s="376"/>
      <c r="M94" s="376"/>
      <c r="N94" s="376"/>
      <c r="O94" s="376"/>
      <c r="P94" s="376"/>
      <c r="Q94" s="376"/>
      <c r="R94" s="376"/>
      <c r="S94" s="376"/>
      <c r="T94" s="376"/>
      <c r="U94" s="376"/>
      <c r="V94" s="377"/>
      <c r="W94" s="7"/>
    </row>
    <row r="95" spans="2:31">
      <c r="B95" s="6"/>
      <c r="C95" s="119" t="s">
        <v>139</v>
      </c>
      <c r="D95" s="35"/>
      <c r="E95" s="35"/>
      <c r="F95" s="35"/>
      <c r="G95" s="35"/>
      <c r="H95" s="35"/>
      <c r="I95" s="35"/>
      <c r="J95" s="35"/>
      <c r="K95" s="35"/>
      <c r="L95" s="35"/>
      <c r="M95" s="35"/>
      <c r="N95" s="35"/>
      <c r="O95" s="35"/>
      <c r="P95" s="35"/>
      <c r="Q95" s="35"/>
      <c r="R95" s="35"/>
      <c r="S95" s="389">
        <f>SUM(S96:T99)</f>
        <v>106523112.66999996</v>
      </c>
      <c r="T95" s="390"/>
      <c r="U95" s="390"/>
      <c r="V95" s="391"/>
      <c r="W95" s="7"/>
      <c r="X95" s="83"/>
      <c r="Y95" s="27"/>
      <c r="Z95" s="27"/>
      <c r="AA95" s="83"/>
    </row>
    <row r="96" spans="2:31">
      <c r="B96" s="6"/>
      <c r="C96" s="71" t="s">
        <v>140</v>
      </c>
      <c r="D96" s="35"/>
      <c r="E96" s="35"/>
      <c r="F96" s="35"/>
      <c r="G96" s="35"/>
      <c r="H96" s="35"/>
      <c r="I96" s="35"/>
      <c r="J96" s="35"/>
      <c r="K96" s="35"/>
      <c r="L96" s="35"/>
      <c r="M96" s="35"/>
      <c r="N96" s="35"/>
      <c r="O96" s="35"/>
      <c r="P96" s="35"/>
      <c r="Q96" s="35"/>
      <c r="R96" s="35"/>
      <c r="S96" s="318">
        <f>S56</f>
        <v>2221120.4289999679</v>
      </c>
      <c r="T96" s="319"/>
      <c r="U96" s="89"/>
      <c r="V96" s="7"/>
      <c r="W96" s="7"/>
      <c r="X96" s="83"/>
      <c r="Y96" s="27"/>
      <c r="AB96" s="27"/>
      <c r="AC96" s="2"/>
      <c r="AE96" s="27"/>
    </row>
    <row r="97" spans="2:32">
      <c r="B97" s="6"/>
      <c r="C97" s="71" t="s">
        <v>141</v>
      </c>
      <c r="D97" s="35"/>
      <c r="E97" s="35"/>
      <c r="F97" s="35"/>
      <c r="G97" s="35"/>
      <c r="H97" s="35"/>
      <c r="I97" s="35"/>
      <c r="J97" s="35"/>
      <c r="K97" s="35"/>
      <c r="L97" s="35"/>
      <c r="M97" s="35"/>
      <c r="N97" s="35"/>
      <c r="O97" s="35"/>
      <c r="P97" s="35"/>
      <c r="Q97" s="35"/>
      <c r="R97" s="35"/>
      <c r="S97" s="318">
        <f>S60+S63+S66-S83+T58+S81-S99</f>
        <v>66764731.449999996</v>
      </c>
      <c r="T97" s="319"/>
      <c r="U97" s="89"/>
      <c r="V97" s="7"/>
      <c r="W97" s="7"/>
      <c r="X97" s="83"/>
      <c r="Y97" s="27"/>
      <c r="Z97" s="8"/>
      <c r="AA97" s="83"/>
    </row>
    <row r="98" spans="2:32">
      <c r="B98" s="6"/>
      <c r="C98" s="71" t="s">
        <v>103</v>
      </c>
      <c r="D98" s="35"/>
      <c r="E98" s="35"/>
      <c r="F98" s="35"/>
      <c r="G98" s="35"/>
      <c r="H98" s="35"/>
      <c r="I98" s="35"/>
      <c r="J98" s="35"/>
      <c r="K98" s="35"/>
      <c r="L98" s="35"/>
      <c r="M98" s="35"/>
      <c r="N98" s="35"/>
      <c r="O98" s="35"/>
      <c r="P98" s="35"/>
      <c r="Q98" s="35"/>
      <c r="R98" s="35"/>
      <c r="S98" s="318">
        <f>Q204</f>
        <v>0</v>
      </c>
      <c r="T98" s="319"/>
      <c r="U98" s="89"/>
      <c r="V98" s="7"/>
      <c r="W98" s="7"/>
      <c r="X98" s="2"/>
      <c r="AA98" s="86"/>
      <c r="AC98" s="83"/>
      <c r="AE98" s="88"/>
    </row>
    <row r="99" spans="2:32" ht="15" thickBot="1">
      <c r="B99" s="6"/>
      <c r="C99" s="120" t="s">
        <v>104</v>
      </c>
      <c r="D99" s="121"/>
      <c r="E99" s="121"/>
      <c r="F99" s="121"/>
      <c r="G99" s="121"/>
      <c r="H99" s="121"/>
      <c r="I99" s="121"/>
      <c r="J99" s="121"/>
      <c r="K99" s="121"/>
      <c r="L99" s="121"/>
      <c r="M99" s="121"/>
      <c r="N99" s="121"/>
      <c r="O99" s="121"/>
      <c r="P99" s="121"/>
      <c r="Q99" s="121"/>
      <c r="R99" s="121"/>
      <c r="S99" s="383">
        <f>Q195</f>
        <v>37537260.791000001</v>
      </c>
      <c r="T99" s="384"/>
      <c r="U99" s="122"/>
      <c r="V99" s="123"/>
      <c r="W99" s="7"/>
      <c r="X99" s="83"/>
      <c r="Y99" s="27"/>
      <c r="Z99" s="2"/>
      <c r="AE99" s="91"/>
    </row>
    <row r="100" spans="2:32" ht="15" thickBot="1">
      <c r="B100" s="6"/>
      <c r="C100" s="124"/>
      <c r="D100" s="9"/>
      <c r="E100" s="9"/>
      <c r="F100" s="9"/>
      <c r="G100" s="9"/>
      <c r="H100" s="9"/>
      <c r="I100" s="9"/>
      <c r="J100" s="9"/>
      <c r="K100" s="9"/>
      <c r="L100" s="9"/>
      <c r="M100" s="9"/>
      <c r="N100" s="9"/>
      <c r="O100" s="9"/>
      <c r="P100" s="9"/>
      <c r="Q100" s="9"/>
      <c r="R100" s="9"/>
      <c r="S100" s="9"/>
      <c r="T100" s="9"/>
      <c r="U100" s="9"/>
      <c r="V100" s="9"/>
      <c r="W100" s="7"/>
      <c r="X100" s="83"/>
      <c r="Y100" s="27"/>
      <c r="Z100" s="2"/>
      <c r="AA100" s="86"/>
      <c r="AC100" s="86"/>
      <c r="AE100" s="94"/>
      <c r="AF100" s="27"/>
    </row>
    <row r="101" spans="2:32">
      <c r="B101" s="6"/>
      <c r="C101" s="296" t="s">
        <v>142</v>
      </c>
      <c r="D101" s="297"/>
      <c r="E101" s="297"/>
      <c r="F101" s="297"/>
      <c r="G101" s="297"/>
      <c r="H101" s="297"/>
      <c r="I101" s="297"/>
      <c r="J101" s="297"/>
      <c r="K101" s="297"/>
      <c r="L101" s="297"/>
      <c r="M101" s="297"/>
      <c r="N101" s="297"/>
      <c r="O101" s="297"/>
      <c r="P101" s="297"/>
      <c r="Q101" s="297"/>
      <c r="R101" s="297"/>
      <c r="S101" s="297"/>
      <c r="T101" s="297"/>
      <c r="U101" s="297"/>
      <c r="V101" s="298"/>
      <c r="W101" s="7"/>
      <c r="X101" s="83"/>
      <c r="Z101" s="2"/>
      <c r="AE101" s="98"/>
    </row>
    <row r="102" spans="2:32">
      <c r="B102" s="6"/>
      <c r="C102" s="112" t="s">
        <v>143</v>
      </c>
      <c r="D102" s="125"/>
      <c r="E102" s="125"/>
      <c r="F102" s="125"/>
      <c r="G102" s="125"/>
      <c r="H102" s="125"/>
      <c r="I102" s="125"/>
      <c r="J102" s="125"/>
      <c r="K102" s="125"/>
      <c r="L102" s="125"/>
      <c r="M102" s="125"/>
      <c r="N102" s="125"/>
      <c r="O102" s="125"/>
      <c r="P102" s="125"/>
      <c r="Q102" s="125"/>
      <c r="R102" s="126"/>
      <c r="S102" s="385">
        <f>S103+S104+S105-S106+S107+S108</f>
        <v>11930201.559999999</v>
      </c>
      <c r="T102" s="385"/>
      <c r="U102" s="385"/>
      <c r="V102" s="386"/>
      <c r="W102" s="7"/>
      <c r="X102" s="83"/>
      <c r="Z102" s="2"/>
      <c r="AE102" s="94"/>
    </row>
    <row r="103" spans="2:32">
      <c r="B103" s="6"/>
      <c r="C103" s="71" t="s">
        <v>144</v>
      </c>
      <c r="D103" s="35"/>
      <c r="E103" s="35"/>
      <c r="F103" s="35"/>
      <c r="G103" s="35"/>
      <c r="H103" s="35"/>
      <c r="I103" s="35"/>
      <c r="J103" s="35"/>
      <c r="K103" s="35"/>
      <c r="L103" s="35"/>
      <c r="M103" s="35"/>
      <c r="N103" s="35"/>
      <c r="O103" s="35"/>
      <c r="P103" s="35"/>
      <c r="Q103" s="35"/>
      <c r="R103" s="102"/>
      <c r="S103" s="387">
        <f>T67+T68+S81</f>
        <v>18713560.219999999</v>
      </c>
      <c r="T103" s="387"/>
      <c r="U103" s="89"/>
      <c r="V103" s="127"/>
      <c r="W103" s="7"/>
      <c r="X103" s="2"/>
      <c r="Z103" s="2"/>
      <c r="AE103" s="99"/>
      <c r="AF103" s="100"/>
    </row>
    <row r="104" spans="2:32">
      <c r="B104" s="6"/>
      <c r="C104" s="71" t="s">
        <v>145</v>
      </c>
      <c r="D104" s="35"/>
      <c r="E104" s="35"/>
      <c r="F104" s="35"/>
      <c r="G104" s="35"/>
      <c r="H104" s="35"/>
      <c r="I104" s="35"/>
      <c r="J104" s="35"/>
      <c r="K104" s="35"/>
      <c r="L104" s="35"/>
      <c r="M104" s="35"/>
      <c r="N104" s="35"/>
      <c r="O104" s="35"/>
      <c r="P104" s="35"/>
      <c r="Q104" s="35"/>
      <c r="R104" s="102"/>
      <c r="S104" s="302">
        <f>IF('Servicer Report'!L59&gt;'Servicer Report'!I59,'Servicer Report'!L59*50%,0)</f>
        <v>0</v>
      </c>
      <c r="T104" s="302"/>
      <c r="U104" s="128"/>
      <c r="V104" s="107"/>
      <c r="W104" s="7"/>
      <c r="Z104" s="129"/>
    </row>
    <row r="105" spans="2:32">
      <c r="B105" s="6"/>
      <c r="C105" s="71" t="s">
        <v>146</v>
      </c>
      <c r="D105" s="35"/>
      <c r="E105" s="35"/>
      <c r="F105" s="35"/>
      <c r="G105" s="35"/>
      <c r="H105" s="35"/>
      <c r="I105" s="35"/>
      <c r="J105" s="35"/>
      <c r="K105" s="35"/>
      <c r="L105" s="35"/>
      <c r="M105" s="35"/>
      <c r="N105" s="35"/>
      <c r="O105" s="35"/>
      <c r="P105" s="35"/>
      <c r="Q105" s="35"/>
      <c r="R105" s="102"/>
      <c r="S105" s="302">
        <v>0</v>
      </c>
      <c r="T105" s="302"/>
      <c r="U105" s="128"/>
      <c r="V105" s="107"/>
      <c r="W105" s="7"/>
      <c r="X105" s="2"/>
      <c r="Z105" s="8"/>
    </row>
    <row r="106" spans="2:32">
      <c r="B106" s="6"/>
      <c r="C106" s="71" t="s">
        <v>147</v>
      </c>
      <c r="D106" s="35"/>
      <c r="E106" s="35"/>
      <c r="F106" s="35"/>
      <c r="G106" s="35"/>
      <c r="H106" s="35"/>
      <c r="I106" s="35"/>
      <c r="J106" s="35"/>
      <c r="K106" s="35"/>
      <c r="L106" s="35"/>
      <c r="M106" s="35"/>
      <c r="N106" s="35"/>
      <c r="O106" s="35"/>
      <c r="P106" s="35"/>
      <c r="Q106" s="35"/>
      <c r="R106" s="102"/>
      <c r="S106" s="302">
        <f>'Servicer Report'!J30</f>
        <v>6783358.6600000001</v>
      </c>
      <c r="T106" s="302"/>
      <c r="U106" s="128"/>
      <c r="V106" s="107"/>
      <c r="W106" s="7"/>
      <c r="X106" s="2"/>
      <c r="Z106" s="86"/>
      <c r="AE106" s="8"/>
    </row>
    <row r="107" spans="2:32">
      <c r="B107" s="6"/>
      <c r="C107" s="71" t="s">
        <v>148</v>
      </c>
      <c r="D107" s="35"/>
      <c r="E107" s="35"/>
      <c r="F107" s="35"/>
      <c r="G107" s="35"/>
      <c r="H107" s="35"/>
      <c r="I107" s="35"/>
      <c r="J107" s="35"/>
      <c r="K107" s="35"/>
      <c r="L107" s="35"/>
      <c r="M107" s="35"/>
      <c r="N107" s="35"/>
      <c r="O107" s="35"/>
      <c r="P107" s="35"/>
      <c r="Q107" s="35"/>
      <c r="R107" s="102"/>
      <c r="S107" s="319">
        <v>0</v>
      </c>
      <c r="T107" s="319"/>
      <c r="U107" s="89"/>
      <c r="V107" s="107"/>
      <c r="W107" s="7"/>
      <c r="Z107" s="86"/>
    </row>
    <row r="108" spans="2:32" ht="15" thickBot="1">
      <c r="B108" s="6"/>
      <c r="C108" s="120" t="s">
        <v>149</v>
      </c>
      <c r="D108" s="121"/>
      <c r="E108" s="121"/>
      <c r="F108" s="121"/>
      <c r="G108" s="121"/>
      <c r="H108" s="121"/>
      <c r="I108" s="121"/>
      <c r="J108" s="121"/>
      <c r="K108" s="121"/>
      <c r="L108" s="121"/>
      <c r="M108" s="121"/>
      <c r="N108" s="121"/>
      <c r="O108" s="121"/>
      <c r="P108" s="121"/>
      <c r="Q108" s="121"/>
      <c r="R108" s="130"/>
      <c r="S108" s="378">
        <v>0</v>
      </c>
      <c r="T108" s="378"/>
      <c r="U108" s="131"/>
      <c r="V108" s="132"/>
      <c r="W108" s="7"/>
      <c r="X108" s="8"/>
      <c r="Z108" s="2"/>
    </row>
    <row r="109" spans="2:32" ht="15" thickBot="1">
      <c r="B109" s="6"/>
      <c r="C109" s="124"/>
      <c r="D109" s="9"/>
      <c r="E109" s="9"/>
      <c r="F109" s="9"/>
      <c r="G109" s="9"/>
      <c r="H109" s="9"/>
      <c r="I109" s="9"/>
      <c r="J109" s="9"/>
      <c r="K109" s="133"/>
      <c r="L109" s="133"/>
      <c r="M109" s="133"/>
      <c r="N109" s="133"/>
      <c r="O109" s="133"/>
      <c r="P109" s="133"/>
      <c r="Q109" s="133"/>
      <c r="R109" s="133"/>
      <c r="S109" s="133"/>
      <c r="T109" s="133"/>
      <c r="U109" s="133"/>
      <c r="V109" s="134"/>
      <c r="W109" s="7"/>
    </row>
    <row r="110" spans="2:32">
      <c r="B110" s="6"/>
      <c r="C110" s="296" t="s">
        <v>150</v>
      </c>
      <c r="D110" s="297"/>
      <c r="E110" s="297"/>
      <c r="F110" s="297"/>
      <c r="G110" s="297"/>
      <c r="H110" s="297"/>
      <c r="I110" s="297"/>
      <c r="J110" s="297"/>
      <c r="K110" s="297"/>
      <c r="L110" s="297"/>
      <c r="M110" s="297"/>
      <c r="N110" s="297"/>
      <c r="O110" s="297"/>
      <c r="P110" s="297"/>
      <c r="Q110" s="297"/>
      <c r="R110" s="297"/>
      <c r="S110" s="297"/>
      <c r="T110" s="297"/>
      <c r="U110" s="297"/>
      <c r="V110" s="298"/>
      <c r="W110" s="7"/>
      <c r="Z110" s="8"/>
      <c r="AB110" s="8"/>
    </row>
    <row r="111" spans="2:32">
      <c r="B111" s="6"/>
      <c r="C111" s="135" t="s">
        <v>151</v>
      </c>
      <c r="D111" s="14"/>
      <c r="E111" s="14"/>
      <c r="F111" s="14"/>
      <c r="G111" s="14"/>
      <c r="H111" s="14"/>
      <c r="I111" s="14"/>
      <c r="J111" s="14"/>
      <c r="K111" s="14"/>
      <c r="L111" s="14"/>
      <c r="M111" s="14"/>
      <c r="N111" s="14"/>
      <c r="O111" s="14"/>
      <c r="P111" s="14"/>
      <c r="Q111" s="14"/>
      <c r="R111" s="136"/>
      <c r="S111" s="379">
        <f>S102</f>
        <v>11930201.559999999</v>
      </c>
      <c r="T111" s="379"/>
      <c r="U111" s="379"/>
      <c r="V111" s="380"/>
      <c r="W111" s="7"/>
      <c r="Y111" s="83"/>
    </row>
    <row r="112" spans="2:32">
      <c r="B112" s="6"/>
      <c r="C112" s="137" t="s">
        <v>152</v>
      </c>
      <c r="D112" s="23"/>
      <c r="E112" s="23"/>
      <c r="F112" s="23"/>
      <c r="G112" s="23"/>
      <c r="H112" s="23"/>
      <c r="I112" s="23"/>
      <c r="J112" s="23"/>
      <c r="K112" s="23"/>
      <c r="L112" s="23"/>
      <c r="M112" s="23"/>
      <c r="N112" s="23"/>
      <c r="O112" s="23"/>
      <c r="P112" s="23"/>
      <c r="Q112" s="23"/>
      <c r="R112" s="138"/>
      <c r="S112" s="381">
        <f>P159</f>
        <v>56996065.928662203</v>
      </c>
      <c r="T112" s="381"/>
      <c r="U112" s="381"/>
      <c r="V112" s="382"/>
      <c r="W112" s="7"/>
    </row>
    <row r="113" spans="2:28" ht="15" thickBot="1">
      <c r="B113" s="6"/>
      <c r="C113" s="139" t="s">
        <v>153</v>
      </c>
      <c r="D113" s="29"/>
      <c r="E113" s="29"/>
      <c r="F113" s="29"/>
      <c r="G113" s="29"/>
      <c r="H113" s="29"/>
      <c r="I113" s="29"/>
      <c r="J113" s="29"/>
      <c r="K113" s="29"/>
      <c r="L113" s="29"/>
      <c r="M113" s="29"/>
      <c r="N113" s="29"/>
      <c r="O113" s="29"/>
      <c r="P113" s="29"/>
      <c r="Q113" s="29"/>
      <c r="R113" s="140"/>
      <c r="S113" s="369">
        <f>MAX(S111-S112,0)</f>
        <v>0</v>
      </c>
      <c r="T113" s="369"/>
      <c r="U113" s="369"/>
      <c r="V113" s="370"/>
      <c r="W113" s="7"/>
      <c r="X113" s="8"/>
      <c r="Y113" s="2"/>
      <c r="AB113" s="8"/>
    </row>
    <row r="114" spans="2:28" ht="15" thickBot="1">
      <c r="B114" s="6"/>
      <c r="C114" s="124"/>
      <c r="D114" s="9"/>
      <c r="E114" s="9"/>
      <c r="F114" s="9"/>
      <c r="G114" s="9"/>
      <c r="H114" s="9"/>
      <c r="I114" s="9"/>
      <c r="J114" s="9"/>
      <c r="K114" s="9"/>
      <c r="L114" s="9"/>
      <c r="M114" s="9"/>
      <c r="N114" s="9"/>
      <c r="O114" s="9"/>
      <c r="P114" s="9"/>
      <c r="Q114" s="133"/>
      <c r="R114" s="133"/>
      <c r="S114" s="133"/>
      <c r="T114" s="133"/>
      <c r="U114" s="133"/>
      <c r="V114" s="134"/>
      <c r="W114" s="7"/>
      <c r="Y114" s="2"/>
    </row>
    <row r="115" spans="2:28">
      <c r="B115" s="6"/>
      <c r="C115" s="296" t="s">
        <v>154</v>
      </c>
      <c r="D115" s="297"/>
      <c r="E115" s="297"/>
      <c r="F115" s="297"/>
      <c r="G115" s="297"/>
      <c r="H115" s="297"/>
      <c r="I115" s="297"/>
      <c r="J115" s="297"/>
      <c r="K115" s="297"/>
      <c r="L115" s="297"/>
      <c r="M115" s="297"/>
      <c r="N115" s="297"/>
      <c r="O115" s="297"/>
      <c r="P115" s="297"/>
      <c r="Q115" s="297"/>
      <c r="R115" s="297"/>
      <c r="S115" s="297"/>
      <c r="T115" s="297"/>
      <c r="U115" s="297"/>
      <c r="V115" s="298"/>
      <c r="W115" s="7"/>
      <c r="Y115" s="2"/>
    </row>
    <row r="116" spans="2:28">
      <c r="B116" s="6"/>
      <c r="C116" s="141"/>
      <c r="D116" s="142"/>
      <c r="E116" s="142"/>
      <c r="F116" s="142"/>
      <c r="G116" s="142"/>
      <c r="H116" s="142"/>
      <c r="I116" s="142"/>
      <c r="J116" s="142"/>
      <c r="K116" s="142"/>
      <c r="L116" s="371" t="s">
        <v>155</v>
      </c>
      <c r="M116" s="372"/>
      <c r="N116" s="143"/>
      <c r="O116" s="373" t="s">
        <v>156</v>
      </c>
      <c r="P116" s="374"/>
      <c r="Q116" s="373" t="s">
        <v>157</v>
      </c>
      <c r="R116" s="375"/>
      <c r="S116" s="374"/>
      <c r="T116" s="376" t="s">
        <v>158</v>
      </c>
      <c r="U116" s="376"/>
      <c r="V116" s="377"/>
      <c r="W116" s="7"/>
      <c r="Y116" s="2"/>
      <c r="Z116" s="8"/>
      <c r="AB116" s="2"/>
    </row>
    <row r="117" spans="2:28">
      <c r="B117" s="6"/>
      <c r="C117" s="137" t="s">
        <v>159</v>
      </c>
      <c r="D117" s="31"/>
      <c r="E117" s="31"/>
      <c r="F117" s="31"/>
      <c r="G117" s="31"/>
      <c r="H117" s="31"/>
      <c r="I117" s="31"/>
      <c r="J117" s="31"/>
      <c r="K117" s="31"/>
      <c r="L117" s="361">
        <v>0</v>
      </c>
      <c r="M117" s="362"/>
      <c r="N117" s="144"/>
      <c r="O117" s="361">
        <v>0</v>
      </c>
      <c r="P117" s="362"/>
      <c r="Q117" s="361" t="s">
        <v>160</v>
      </c>
      <c r="R117" s="363"/>
      <c r="S117" s="362"/>
      <c r="T117" s="361" t="s">
        <v>160</v>
      </c>
      <c r="U117" s="363"/>
      <c r="V117" s="364"/>
      <c r="W117" s="7"/>
      <c r="Y117" s="2"/>
    </row>
    <row r="118" spans="2:28" ht="15" thickBot="1">
      <c r="B118" s="6"/>
      <c r="C118" s="139" t="s">
        <v>161</v>
      </c>
      <c r="D118" s="121"/>
      <c r="E118" s="121"/>
      <c r="F118" s="121"/>
      <c r="G118" s="121"/>
      <c r="H118" s="121"/>
      <c r="I118" s="121"/>
      <c r="J118" s="121"/>
      <c r="K118" s="121"/>
      <c r="L118" s="365">
        <v>0</v>
      </c>
      <c r="M118" s="366"/>
      <c r="N118" s="145"/>
      <c r="O118" s="365">
        <v>0</v>
      </c>
      <c r="P118" s="366"/>
      <c r="Q118" s="365" t="s">
        <v>160</v>
      </c>
      <c r="R118" s="367"/>
      <c r="S118" s="366"/>
      <c r="T118" s="365" t="s">
        <v>160</v>
      </c>
      <c r="U118" s="367"/>
      <c r="V118" s="368"/>
      <c r="W118" s="7"/>
      <c r="Y118" s="2"/>
      <c r="AB118" s="8"/>
    </row>
    <row r="119" spans="2:28" ht="15" thickBot="1">
      <c r="B119" s="6"/>
      <c r="C119" s="124"/>
      <c r="D119" s="9"/>
      <c r="E119" s="9"/>
      <c r="F119" s="9"/>
      <c r="G119" s="9"/>
      <c r="H119" s="9"/>
      <c r="I119" s="9"/>
      <c r="J119" s="9"/>
      <c r="K119" s="9"/>
      <c r="L119" s="9"/>
      <c r="M119" s="9"/>
      <c r="N119" s="9"/>
      <c r="O119" s="9"/>
      <c r="P119" s="9"/>
      <c r="Q119" s="9"/>
      <c r="R119" s="9"/>
      <c r="S119" s="9"/>
      <c r="T119" s="9"/>
      <c r="U119" s="9"/>
      <c r="V119" s="9"/>
      <c r="W119" s="7"/>
      <c r="Y119" s="2"/>
    </row>
    <row r="120" spans="2:28">
      <c r="B120" s="6"/>
      <c r="C120" s="296" t="s">
        <v>162</v>
      </c>
      <c r="D120" s="297"/>
      <c r="E120" s="297"/>
      <c r="F120" s="297"/>
      <c r="G120" s="297"/>
      <c r="H120" s="297"/>
      <c r="I120" s="297"/>
      <c r="J120" s="297"/>
      <c r="K120" s="297"/>
      <c r="L120" s="297"/>
      <c r="M120" s="297"/>
      <c r="N120" s="297"/>
      <c r="O120" s="297"/>
      <c r="P120" s="297"/>
      <c r="Q120" s="297"/>
      <c r="R120" s="297"/>
      <c r="S120" s="297"/>
      <c r="T120" s="297"/>
      <c r="U120" s="297"/>
      <c r="V120" s="298"/>
      <c r="W120" s="7"/>
      <c r="Y120" s="2"/>
    </row>
    <row r="121" spans="2:28">
      <c r="B121" s="6"/>
      <c r="C121" s="71" t="s">
        <v>163</v>
      </c>
      <c r="D121" s="35"/>
      <c r="E121" s="35"/>
      <c r="F121" s="35"/>
      <c r="G121" s="35"/>
      <c r="H121" s="35"/>
      <c r="I121" s="35"/>
      <c r="J121" s="35"/>
      <c r="K121" s="35"/>
      <c r="L121" s="35"/>
      <c r="M121" s="35"/>
      <c r="N121" s="35"/>
      <c r="O121" s="35"/>
      <c r="P121" s="35"/>
      <c r="Q121" s="35"/>
      <c r="R121" s="35"/>
      <c r="S121" s="346" t="s">
        <v>164</v>
      </c>
      <c r="T121" s="347"/>
      <c r="U121" s="146"/>
      <c r="V121" s="147"/>
      <c r="W121" s="7"/>
      <c r="Y121" s="2"/>
    </row>
    <row r="122" spans="2:28">
      <c r="B122" s="6"/>
      <c r="C122" s="71" t="s">
        <v>165</v>
      </c>
      <c r="D122" s="35"/>
      <c r="E122" s="35"/>
      <c r="F122" s="35"/>
      <c r="G122" s="35"/>
      <c r="H122" s="35"/>
      <c r="I122" s="35"/>
      <c r="J122" s="35"/>
      <c r="K122" s="35"/>
      <c r="L122" s="35"/>
      <c r="M122" s="35"/>
      <c r="N122" s="35"/>
      <c r="O122" s="35"/>
      <c r="P122" s="35"/>
      <c r="Q122" s="35"/>
      <c r="R122" s="35"/>
      <c r="S122" s="359" t="s">
        <v>164</v>
      </c>
      <c r="T122" s="360"/>
      <c r="U122" s="148"/>
      <c r="V122" s="149"/>
      <c r="W122" s="7"/>
      <c r="Y122" s="2"/>
    </row>
    <row r="123" spans="2:28">
      <c r="B123" s="6"/>
      <c r="C123" s="71" t="s">
        <v>166</v>
      </c>
      <c r="D123" s="35"/>
      <c r="E123" s="35"/>
      <c r="F123" s="35"/>
      <c r="G123" s="35"/>
      <c r="H123" s="35"/>
      <c r="I123" s="35"/>
      <c r="J123" s="35"/>
      <c r="K123" s="35"/>
      <c r="L123" s="35"/>
      <c r="M123" s="35"/>
      <c r="N123" s="35"/>
      <c r="O123" s="35"/>
      <c r="P123" s="35"/>
      <c r="Q123" s="35"/>
      <c r="R123" s="35"/>
      <c r="S123" s="359" t="s">
        <v>160</v>
      </c>
      <c r="T123" s="360"/>
      <c r="U123" s="148"/>
      <c r="V123" s="149"/>
      <c r="W123" s="7"/>
      <c r="Y123" s="2"/>
    </row>
    <row r="124" spans="2:28">
      <c r="B124" s="6"/>
      <c r="C124" s="135" t="s">
        <v>167</v>
      </c>
      <c r="D124" s="106"/>
      <c r="E124" s="106"/>
      <c r="F124" s="106"/>
      <c r="G124" s="106"/>
      <c r="H124" s="106"/>
      <c r="I124" s="106"/>
      <c r="J124" s="106"/>
      <c r="K124" s="106"/>
      <c r="L124" s="106"/>
      <c r="M124" s="106"/>
      <c r="N124" s="106"/>
      <c r="O124" s="106"/>
      <c r="P124" s="106"/>
      <c r="Q124" s="106"/>
      <c r="R124" s="106"/>
      <c r="S124" s="343" t="s">
        <v>164</v>
      </c>
      <c r="T124" s="344"/>
      <c r="U124" s="344"/>
      <c r="V124" s="345"/>
      <c r="W124" s="7"/>
      <c r="Y124" s="2"/>
    </row>
    <row r="125" spans="2:28">
      <c r="B125" s="6"/>
      <c r="C125" s="150" t="s">
        <v>168</v>
      </c>
      <c r="D125" s="85"/>
      <c r="E125" s="85"/>
      <c r="F125" s="85"/>
      <c r="G125" s="85"/>
      <c r="H125" s="85"/>
      <c r="I125" s="85"/>
      <c r="J125" s="85"/>
      <c r="K125" s="85"/>
      <c r="L125" s="85"/>
      <c r="M125" s="85"/>
      <c r="N125" s="85"/>
      <c r="O125" s="85"/>
      <c r="P125" s="85"/>
      <c r="Q125" s="151"/>
      <c r="R125" s="152"/>
      <c r="S125" s="341" t="s">
        <v>164</v>
      </c>
      <c r="T125" s="342"/>
      <c r="U125" s="153"/>
      <c r="V125" s="154"/>
      <c r="W125" s="7"/>
      <c r="Y125" s="8"/>
      <c r="Z125" s="2"/>
    </row>
    <row r="126" spans="2:28">
      <c r="B126" s="6"/>
      <c r="C126" s="108" t="s">
        <v>169</v>
      </c>
      <c r="D126" s="35"/>
      <c r="E126" s="35"/>
      <c r="F126" s="35"/>
      <c r="G126" s="35"/>
      <c r="H126" s="35"/>
      <c r="I126" s="35"/>
      <c r="J126" s="35"/>
      <c r="K126" s="35"/>
      <c r="L126" s="35"/>
      <c r="M126" s="35"/>
      <c r="N126" s="35"/>
      <c r="O126" s="35"/>
      <c r="P126" s="35"/>
      <c r="Q126" s="152"/>
      <c r="R126" s="152"/>
      <c r="S126" s="341" t="s">
        <v>164</v>
      </c>
      <c r="T126" s="342"/>
      <c r="U126" s="153"/>
      <c r="V126" s="154"/>
      <c r="W126" s="7"/>
    </row>
    <row r="127" spans="2:28">
      <c r="B127" s="6"/>
      <c r="C127" s="108" t="s">
        <v>170</v>
      </c>
      <c r="D127" s="35"/>
      <c r="E127" s="35"/>
      <c r="F127" s="35"/>
      <c r="G127" s="35"/>
      <c r="H127" s="35"/>
      <c r="I127" s="35"/>
      <c r="J127" s="35"/>
      <c r="K127" s="35"/>
      <c r="L127" s="35"/>
      <c r="M127" s="35"/>
      <c r="N127" s="35"/>
      <c r="O127" s="35"/>
      <c r="P127" s="35"/>
      <c r="Q127" s="152"/>
      <c r="R127" s="152"/>
      <c r="S127" s="341" t="s">
        <v>164</v>
      </c>
      <c r="T127" s="342"/>
      <c r="U127" s="153"/>
      <c r="V127" s="154"/>
      <c r="W127" s="7"/>
    </row>
    <row r="128" spans="2:28">
      <c r="B128" s="6"/>
      <c r="C128" s="108" t="s">
        <v>171</v>
      </c>
      <c r="D128" s="35"/>
      <c r="E128" s="35"/>
      <c r="F128" s="35"/>
      <c r="G128" s="35"/>
      <c r="H128" s="35"/>
      <c r="I128" s="35"/>
      <c r="J128" s="35"/>
      <c r="K128" s="35"/>
      <c r="L128" s="35"/>
      <c r="M128" s="35"/>
      <c r="N128" s="35"/>
      <c r="O128" s="35"/>
      <c r="P128" s="35"/>
      <c r="Q128" s="152"/>
      <c r="R128" s="152"/>
      <c r="S128" s="341" t="s">
        <v>160</v>
      </c>
      <c r="T128" s="342"/>
      <c r="U128" s="153"/>
      <c r="V128" s="154"/>
      <c r="W128" s="7"/>
    </row>
    <row r="129" spans="2:23">
      <c r="B129" s="6"/>
      <c r="C129" s="108" t="s">
        <v>172</v>
      </c>
      <c r="D129" s="35"/>
      <c r="E129" s="35"/>
      <c r="F129" s="35"/>
      <c r="G129" s="35"/>
      <c r="H129" s="35"/>
      <c r="I129" s="35"/>
      <c r="J129" s="35"/>
      <c r="K129" s="35"/>
      <c r="L129" s="35"/>
      <c r="M129" s="35"/>
      <c r="N129" s="35"/>
      <c r="O129" s="35"/>
      <c r="P129" s="35"/>
      <c r="Q129" s="152"/>
      <c r="R129" s="152"/>
      <c r="S129" s="341" t="s">
        <v>160</v>
      </c>
      <c r="T129" s="342"/>
      <c r="U129" s="153"/>
      <c r="V129" s="154"/>
      <c r="W129" s="7"/>
    </row>
    <row r="130" spans="2:23">
      <c r="B130" s="6"/>
      <c r="C130" s="108" t="s">
        <v>173</v>
      </c>
      <c r="D130" s="35"/>
      <c r="E130" s="35"/>
      <c r="F130" s="35"/>
      <c r="G130" s="35"/>
      <c r="H130" s="35"/>
      <c r="I130" s="35"/>
      <c r="J130" s="35"/>
      <c r="K130" s="35"/>
      <c r="L130" s="35"/>
      <c r="M130" s="35"/>
      <c r="N130" s="35"/>
      <c r="O130" s="35"/>
      <c r="P130" s="35"/>
      <c r="Q130" s="152"/>
      <c r="R130" s="152"/>
      <c r="S130" s="341" t="s">
        <v>160</v>
      </c>
      <c r="T130" s="342"/>
      <c r="U130" s="153"/>
      <c r="V130" s="154"/>
      <c r="W130" s="7"/>
    </row>
    <row r="131" spans="2:23">
      <c r="B131" s="6"/>
      <c r="C131" s="108" t="s">
        <v>174</v>
      </c>
      <c r="D131" s="35"/>
      <c r="E131" s="35"/>
      <c r="F131" s="35"/>
      <c r="G131" s="35"/>
      <c r="H131" s="35"/>
      <c r="I131" s="35"/>
      <c r="J131" s="35"/>
      <c r="K131" s="35"/>
      <c r="L131" s="35"/>
      <c r="M131" s="35"/>
      <c r="N131" s="35"/>
      <c r="O131" s="35"/>
      <c r="P131" s="35"/>
      <c r="Q131" s="152"/>
      <c r="R131" s="152"/>
      <c r="S131" s="341" t="s">
        <v>160</v>
      </c>
      <c r="T131" s="342"/>
      <c r="U131" s="153"/>
      <c r="V131" s="154"/>
      <c r="W131" s="7"/>
    </row>
    <row r="132" spans="2:23">
      <c r="B132" s="6"/>
      <c r="C132" s="108" t="s">
        <v>175</v>
      </c>
      <c r="D132" s="35"/>
      <c r="E132" s="35"/>
      <c r="F132" s="35"/>
      <c r="G132" s="35"/>
      <c r="H132" s="35"/>
      <c r="I132" s="35"/>
      <c r="J132" s="35"/>
      <c r="K132" s="35"/>
      <c r="L132" s="35"/>
      <c r="M132" s="35"/>
      <c r="N132" s="35"/>
      <c r="O132" s="35"/>
      <c r="P132" s="35"/>
      <c r="Q132" s="152"/>
      <c r="R132" s="152"/>
      <c r="S132" s="341" t="s">
        <v>160</v>
      </c>
      <c r="T132" s="342"/>
      <c r="U132" s="153"/>
      <c r="V132" s="154"/>
      <c r="W132" s="7"/>
    </row>
    <row r="133" spans="2:23">
      <c r="B133" s="6"/>
      <c r="C133" s="135" t="s">
        <v>176</v>
      </c>
      <c r="D133" s="106"/>
      <c r="E133" s="106"/>
      <c r="F133" s="106"/>
      <c r="G133" s="106"/>
      <c r="H133" s="106"/>
      <c r="I133" s="106"/>
      <c r="J133" s="106"/>
      <c r="K133" s="106"/>
      <c r="L133" s="106"/>
      <c r="M133" s="106"/>
      <c r="N133" s="106"/>
      <c r="O133" s="106"/>
      <c r="P133" s="106"/>
      <c r="Q133" s="155"/>
      <c r="R133" s="155"/>
      <c r="S133" s="343" t="s">
        <v>164</v>
      </c>
      <c r="T133" s="344"/>
      <c r="U133" s="344"/>
      <c r="V133" s="345"/>
      <c r="W133" s="7"/>
    </row>
    <row r="134" spans="2:23">
      <c r="B134" s="6"/>
      <c r="C134" s="150" t="s">
        <v>177</v>
      </c>
      <c r="D134" s="85"/>
      <c r="E134" s="85"/>
      <c r="F134" s="85"/>
      <c r="G134" s="85"/>
      <c r="H134" s="85"/>
      <c r="I134" s="85"/>
      <c r="J134" s="85"/>
      <c r="K134" s="85"/>
      <c r="L134" s="85"/>
      <c r="M134" s="85"/>
      <c r="N134" s="85"/>
      <c r="O134" s="85"/>
      <c r="P134" s="85"/>
      <c r="Q134" s="151"/>
      <c r="R134" s="151"/>
      <c r="S134" s="346" t="s">
        <v>164</v>
      </c>
      <c r="T134" s="347"/>
      <c r="U134" s="146"/>
      <c r="V134" s="156"/>
      <c r="W134" s="7"/>
    </row>
    <row r="135" spans="2:23" ht="15" thickBot="1">
      <c r="B135" s="6"/>
      <c r="C135" s="139" t="s">
        <v>178</v>
      </c>
      <c r="D135" s="121"/>
      <c r="E135" s="121"/>
      <c r="F135" s="121"/>
      <c r="G135" s="121"/>
      <c r="H135" s="121"/>
      <c r="I135" s="121"/>
      <c r="J135" s="121"/>
      <c r="K135" s="121"/>
      <c r="L135" s="121"/>
      <c r="M135" s="121"/>
      <c r="N135" s="121"/>
      <c r="O135" s="121"/>
      <c r="P135" s="121"/>
      <c r="Q135" s="157"/>
      <c r="R135" s="157"/>
      <c r="S135" s="348" t="s">
        <v>164</v>
      </c>
      <c r="T135" s="349"/>
      <c r="U135" s="349"/>
      <c r="V135" s="350"/>
      <c r="W135" s="7"/>
    </row>
    <row r="136" spans="2:23" ht="15" thickBot="1">
      <c r="B136" s="6"/>
      <c r="C136" s="124"/>
      <c r="D136" s="9"/>
      <c r="E136" s="9"/>
      <c r="F136" s="9"/>
      <c r="G136" s="9"/>
      <c r="H136" s="9"/>
      <c r="I136" s="9"/>
      <c r="J136" s="9"/>
      <c r="K136" s="9"/>
      <c r="L136" s="9"/>
      <c r="M136" s="9"/>
      <c r="N136" s="9"/>
      <c r="O136" s="9"/>
      <c r="P136" s="9"/>
      <c r="Q136" s="9"/>
      <c r="R136" s="9"/>
      <c r="S136" s="9"/>
      <c r="T136" s="9"/>
      <c r="U136" s="9"/>
      <c r="V136" s="9"/>
      <c r="W136" s="7"/>
    </row>
    <row r="137" spans="2:23">
      <c r="B137" s="6"/>
      <c r="C137" s="296" t="s">
        <v>179</v>
      </c>
      <c r="D137" s="297"/>
      <c r="E137" s="297"/>
      <c r="F137" s="297"/>
      <c r="G137" s="297"/>
      <c r="H137" s="297"/>
      <c r="I137" s="297"/>
      <c r="J137" s="297"/>
      <c r="K137" s="297"/>
      <c r="L137" s="297"/>
      <c r="M137" s="297"/>
      <c r="N137" s="297"/>
      <c r="O137" s="297"/>
      <c r="P137" s="297"/>
      <c r="Q137" s="297"/>
      <c r="R137" s="297"/>
      <c r="S137" s="297"/>
      <c r="T137" s="297"/>
      <c r="U137" s="297"/>
      <c r="V137" s="298"/>
      <c r="W137" s="7"/>
    </row>
    <row r="138" spans="2:23" ht="45.75" customHeight="1">
      <c r="B138" s="6"/>
      <c r="C138" s="351" t="s">
        <v>180</v>
      </c>
      <c r="D138" s="352"/>
      <c r="E138" s="352"/>
      <c r="F138" s="352"/>
      <c r="G138" s="352"/>
      <c r="H138" s="352"/>
      <c r="I138" s="352"/>
      <c r="J138" s="352"/>
      <c r="K138" s="353"/>
      <c r="L138" s="276" t="s">
        <v>181</v>
      </c>
      <c r="M138" s="354"/>
      <c r="N138" s="354"/>
      <c r="O138" s="277"/>
      <c r="P138" s="355" t="s">
        <v>182</v>
      </c>
      <c r="Q138" s="356"/>
      <c r="R138" s="356"/>
      <c r="S138" s="357"/>
      <c r="T138" s="276" t="s">
        <v>183</v>
      </c>
      <c r="U138" s="354"/>
      <c r="V138" s="358"/>
      <c r="W138" s="7"/>
    </row>
    <row r="139" spans="2:23">
      <c r="B139" s="6"/>
      <c r="C139" s="137" t="s">
        <v>184</v>
      </c>
      <c r="D139" s="31"/>
      <c r="E139" s="31"/>
      <c r="F139" s="31"/>
      <c r="G139" s="31"/>
      <c r="H139" s="31"/>
      <c r="I139" s="31"/>
      <c r="J139" s="31"/>
      <c r="K139" s="31"/>
      <c r="L139" s="338">
        <v>4328256</v>
      </c>
      <c r="M139" s="339"/>
      <c r="N139" s="339"/>
      <c r="O139" s="339"/>
      <c r="P139" s="333">
        <f>S95</f>
        <v>106523112.66999996</v>
      </c>
      <c r="Q139" s="334"/>
      <c r="R139" s="334"/>
      <c r="S139" s="340"/>
      <c r="T139" s="281">
        <f>L139</f>
        <v>4328256</v>
      </c>
      <c r="U139" s="282"/>
      <c r="V139" s="283"/>
      <c r="W139" s="7"/>
    </row>
    <row r="140" spans="2:23">
      <c r="B140" s="6"/>
      <c r="C140" s="112" t="s">
        <v>185</v>
      </c>
      <c r="D140" s="85"/>
      <c r="E140" s="85"/>
      <c r="F140" s="85"/>
      <c r="G140" s="85"/>
      <c r="H140" s="85"/>
      <c r="I140" s="85"/>
      <c r="J140" s="85"/>
      <c r="K140" s="85"/>
      <c r="L140" s="322">
        <f>SUM(L141:M142)</f>
        <v>85496</v>
      </c>
      <c r="M140" s="323"/>
      <c r="N140" s="323"/>
      <c r="O140" s="323"/>
      <c r="P140" s="325">
        <f>P139-T139</f>
        <v>102194856.66999996</v>
      </c>
      <c r="Q140" s="326"/>
      <c r="R140" s="326"/>
      <c r="S140" s="337"/>
      <c r="T140" s="325">
        <f>SUM(T141:T142)</f>
        <v>85496</v>
      </c>
      <c r="U140" s="326"/>
      <c r="V140" s="327"/>
      <c r="W140" s="7"/>
    </row>
    <row r="141" spans="2:23">
      <c r="B141" s="6"/>
      <c r="C141" s="71" t="s">
        <v>186</v>
      </c>
      <c r="D141" s="35"/>
      <c r="E141" s="35"/>
      <c r="F141" s="35"/>
      <c r="G141" s="35"/>
      <c r="H141" s="35"/>
      <c r="I141" s="35"/>
      <c r="J141" s="35"/>
      <c r="K141" s="35"/>
      <c r="L141" s="316">
        <v>75924</v>
      </c>
      <c r="M141" s="317"/>
      <c r="N141" s="93"/>
      <c r="O141" s="89"/>
      <c r="P141" s="318">
        <f>P140*L141/$L$140</f>
        <v>90753278.490374714</v>
      </c>
      <c r="Q141" s="319"/>
      <c r="R141" s="89"/>
      <c r="S141" s="159"/>
      <c r="T141" s="92">
        <f>L141</f>
        <v>75924</v>
      </c>
      <c r="U141" s="160"/>
      <c r="V141" s="90"/>
      <c r="W141" s="7"/>
    </row>
    <row r="142" spans="2:23">
      <c r="B142" s="6"/>
      <c r="C142" s="71" t="s">
        <v>187</v>
      </c>
      <c r="D142" s="35"/>
      <c r="E142" s="35"/>
      <c r="F142" s="35"/>
      <c r="G142" s="35"/>
      <c r="H142" s="35"/>
      <c r="I142" s="35"/>
      <c r="J142" s="35"/>
      <c r="K142" s="35"/>
      <c r="L142" s="316">
        <v>9572</v>
      </c>
      <c r="M142" s="317"/>
      <c r="N142" s="93"/>
      <c r="O142" s="117"/>
      <c r="P142" s="333">
        <f>P140*L142/$L$140</f>
        <v>11441578.179625241</v>
      </c>
      <c r="Q142" s="334"/>
      <c r="R142" s="117"/>
      <c r="S142" s="161"/>
      <c r="T142" s="95">
        <f>L142</f>
        <v>9572</v>
      </c>
      <c r="U142" s="103"/>
      <c r="V142" s="162"/>
      <c r="W142" s="7"/>
    </row>
    <row r="143" spans="2:23">
      <c r="B143" s="6"/>
      <c r="C143" s="112" t="s">
        <v>188</v>
      </c>
      <c r="D143" s="85"/>
      <c r="E143" s="85"/>
      <c r="F143" s="85"/>
      <c r="G143" s="85"/>
      <c r="H143" s="85"/>
      <c r="I143" s="85"/>
      <c r="J143" s="85"/>
      <c r="K143" s="85"/>
      <c r="L143" s="322">
        <f>SUM(L144:M145)</f>
        <v>39361.666666666664</v>
      </c>
      <c r="M143" s="323"/>
      <c r="N143" s="323"/>
      <c r="O143" s="323"/>
      <c r="P143" s="325">
        <f>P140-T140</f>
        <v>102109360.66999996</v>
      </c>
      <c r="Q143" s="326"/>
      <c r="R143" s="326"/>
      <c r="S143" s="337"/>
      <c r="T143" s="325">
        <f>SUM(T144:T145)</f>
        <v>39361.666666666664</v>
      </c>
      <c r="U143" s="326"/>
      <c r="V143" s="327"/>
      <c r="W143" s="7"/>
    </row>
    <row r="144" spans="2:23">
      <c r="B144" s="6"/>
      <c r="C144" s="71" t="s">
        <v>189</v>
      </c>
      <c r="D144" s="35"/>
      <c r="E144" s="35"/>
      <c r="F144" s="35"/>
      <c r="G144" s="35"/>
      <c r="H144" s="35"/>
      <c r="I144" s="35"/>
      <c r="J144" s="35"/>
      <c r="K144" s="35"/>
      <c r="L144" s="316">
        <v>440</v>
      </c>
      <c r="M144" s="317"/>
      <c r="N144" s="93"/>
      <c r="O144" s="89"/>
      <c r="P144" s="318">
        <f>$P$143*L144/$L$143</f>
        <v>1141418.0978481597</v>
      </c>
      <c r="Q144" s="319"/>
      <c r="R144" s="89"/>
      <c r="S144" s="159"/>
      <c r="T144" s="92">
        <f>L144</f>
        <v>440</v>
      </c>
      <c r="U144" s="160"/>
      <c r="V144" s="90"/>
      <c r="W144" s="7"/>
    </row>
    <row r="145" spans="2:23">
      <c r="B145" s="6"/>
      <c r="C145" s="71" t="s">
        <v>190</v>
      </c>
      <c r="D145" s="35"/>
      <c r="E145" s="35"/>
      <c r="F145" s="35"/>
      <c r="G145" s="35"/>
      <c r="H145" s="35"/>
      <c r="I145" s="35"/>
      <c r="J145" s="35"/>
      <c r="K145" s="35"/>
      <c r="L145" s="335">
        <v>38921.666666666664</v>
      </c>
      <c r="M145" s="336"/>
      <c r="N145" s="96"/>
      <c r="O145" s="89"/>
      <c r="P145" s="333">
        <f>IFERROR($P$143*L145/$L$143,0)</f>
        <v>100967942.57215181</v>
      </c>
      <c r="Q145" s="334"/>
      <c r="R145" s="117"/>
      <c r="S145" s="161"/>
      <c r="T145" s="95">
        <f>L145</f>
        <v>38921.666666666664</v>
      </c>
      <c r="U145" s="103"/>
      <c r="V145" s="162"/>
      <c r="W145" s="7"/>
    </row>
    <row r="146" spans="2:23">
      <c r="B146" s="6"/>
      <c r="C146" s="112" t="s">
        <v>191</v>
      </c>
      <c r="D146" s="85"/>
      <c r="E146" s="85"/>
      <c r="F146" s="85"/>
      <c r="G146" s="85"/>
      <c r="H146" s="85"/>
      <c r="I146" s="85"/>
      <c r="J146" s="85"/>
      <c r="K146" s="85"/>
      <c r="L146" s="322">
        <f>SUM(L147:M149)</f>
        <v>6117493.085957313</v>
      </c>
      <c r="M146" s="323"/>
      <c r="N146" s="323"/>
      <c r="O146" s="331"/>
      <c r="P146" s="325">
        <f>P143-T143</f>
        <v>102069999.00333329</v>
      </c>
      <c r="Q146" s="326"/>
      <c r="R146" s="326"/>
      <c r="S146" s="337"/>
      <c r="T146" s="325">
        <f>SUM(T147:T149)</f>
        <v>6117493.085957313</v>
      </c>
      <c r="U146" s="326"/>
      <c r="V146" s="327"/>
      <c r="W146" s="7"/>
    </row>
    <row r="147" spans="2:23">
      <c r="B147" s="6"/>
      <c r="C147" s="71" t="s">
        <v>192</v>
      </c>
      <c r="D147" s="35"/>
      <c r="E147" s="35"/>
      <c r="F147" s="35"/>
      <c r="G147" s="35"/>
      <c r="H147" s="35"/>
      <c r="I147" s="35"/>
      <c r="J147" s="35"/>
      <c r="K147" s="35"/>
      <c r="L147" s="316">
        <v>5199868.5730796009</v>
      </c>
      <c r="M147" s="317"/>
      <c r="N147" s="93"/>
      <c r="O147" s="163"/>
      <c r="P147" s="318">
        <f>$P$146*L147/$L$146</f>
        <v>86759489.976381883</v>
      </c>
      <c r="Q147" s="319"/>
      <c r="R147" s="89"/>
      <c r="S147" s="159"/>
      <c r="T147" s="92">
        <f>L147</f>
        <v>5199868.5730796009</v>
      </c>
      <c r="U147" s="160"/>
      <c r="V147" s="90"/>
      <c r="W147" s="7"/>
    </row>
    <row r="148" spans="2:23">
      <c r="B148" s="6"/>
      <c r="C148" s="71" t="s">
        <v>193</v>
      </c>
      <c r="D148" s="35"/>
      <c r="E148" s="35"/>
      <c r="F148" s="35"/>
      <c r="G148" s="35"/>
      <c r="H148" s="35"/>
      <c r="I148" s="35"/>
      <c r="J148" s="35"/>
      <c r="K148" s="35"/>
      <c r="L148" s="316">
        <v>0</v>
      </c>
      <c r="M148" s="317"/>
      <c r="N148" s="93"/>
      <c r="O148" s="163"/>
      <c r="P148" s="318">
        <f>$P$146*L148/$L$146</f>
        <v>0</v>
      </c>
      <c r="Q148" s="319"/>
      <c r="R148" s="89"/>
      <c r="S148" s="159"/>
      <c r="T148" s="92">
        <f>L148</f>
        <v>0</v>
      </c>
      <c r="U148" s="160"/>
      <c r="V148" s="90"/>
      <c r="W148" s="7"/>
    </row>
    <row r="149" spans="2:23">
      <c r="B149" s="6"/>
      <c r="C149" s="71" t="s">
        <v>194</v>
      </c>
      <c r="D149" s="35"/>
      <c r="E149" s="35"/>
      <c r="F149" s="35"/>
      <c r="G149" s="35"/>
      <c r="H149" s="35"/>
      <c r="I149" s="35"/>
      <c r="J149" s="35"/>
      <c r="K149" s="35"/>
      <c r="L149" s="316">
        <v>917624.51287771249</v>
      </c>
      <c r="M149" s="317"/>
      <c r="N149" s="164"/>
      <c r="O149" s="165"/>
      <c r="P149" s="333">
        <f>$P$146*L149/$L$146</f>
        <v>15310509.026951415</v>
      </c>
      <c r="Q149" s="334"/>
      <c r="R149" s="117"/>
      <c r="S149" s="161"/>
      <c r="T149" s="95">
        <f>L149</f>
        <v>917624.51287771249</v>
      </c>
      <c r="U149" s="103"/>
      <c r="V149" s="166"/>
      <c r="W149" s="7"/>
    </row>
    <row r="150" spans="2:23">
      <c r="B150" s="6"/>
      <c r="C150" s="137" t="s">
        <v>195</v>
      </c>
      <c r="D150" s="31"/>
      <c r="E150" s="31"/>
      <c r="F150" s="31"/>
      <c r="G150" s="31"/>
      <c r="H150" s="31"/>
      <c r="I150" s="31"/>
      <c r="J150" s="31"/>
      <c r="K150" s="31"/>
      <c r="L150" s="322">
        <v>1597472.8767123288</v>
      </c>
      <c r="M150" s="323"/>
      <c r="N150" s="323"/>
      <c r="O150" s="323"/>
      <c r="P150" s="281">
        <f>P146-T146</f>
        <v>95952505.917375967</v>
      </c>
      <c r="Q150" s="282"/>
      <c r="R150" s="282"/>
      <c r="S150" s="332"/>
      <c r="T150" s="281">
        <f>L150</f>
        <v>1597472.8767123288</v>
      </c>
      <c r="U150" s="282"/>
      <c r="V150" s="283"/>
      <c r="W150" s="7"/>
    </row>
    <row r="151" spans="2:23">
      <c r="B151" s="6"/>
      <c r="C151" s="112" t="s">
        <v>196</v>
      </c>
      <c r="D151" s="85"/>
      <c r="E151" s="85"/>
      <c r="F151" s="85"/>
      <c r="G151" s="85"/>
      <c r="H151" s="85"/>
      <c r="I151" s="85"/>
      <c r="J151" s="85"/>
      <c r="K151" s="85"/>
      <c r="L151" s="322">
        <v>0</v>
      </c>
      <c r="M151" s="323"/>
      <c r="N151" s="323"/>
      <c r="O151" s="323"/>
      <c r="P151" s="281">
        <f>P150-T150</f>
        <v>94355033.040663645</v>
      </c>
      <c r="Q151" s="282"/>
      <c r="R151" s="282"/>
      <c r="S151" s="332"/>
      <c r="T151" s="281">
        <f>L151</f>
        <v>0</v>
      </c>
      <c r="U151" s="282"/>
      <c r="V151" s="283"/>
      <c r="W151" s="7"/>
    </row>
    <row r="152" spans="2:23">
      <c r="B152" s="6"/>
      <c r="C152" s="112" t="s">
        <v>197</v>
      </c>
      <c r="D152" s="85"/>
      <c r="E152" s="85"/>
      <c r="F152" s="85"/>
      <c r="G152" s="85"/>
      <c r="H152" s="85"/>
      <c r="I152" s="85"/>
      <c r="J152" s="85"/>
      <c r="K152" s="85"/>
      <c r="L152" s="322">
        <f>SUM(L153:M155)</f>
        <v>29229423.659946654</v>
      </c>
      <c r="M152" s="323"/>
      <c r="N152" s="323"/>
      <c r="O152" s="331"/>
      <c r="P152" s="318">
        <f>P151-T151</f>
        <v>94355033.040663645</v>
      </c>
      <c r="Q152" s="319"/>
      <c r="R152" s="319"/>
      <c r="S152" s="324"/>
      <c r="T152" s="325">
        <f>SUM(T153:T155)</f>
        <v>29229423.659946654</v>
      </c>
      <c r="U152" s="326"/>
      <c r="V152" s="327"/>
      <c r="W152" s="7"/>
    </row>
    <row r="153" spans="2:23">
      <c r="B153" s="6"/>
      <c r="C153" s="71" t="s">
        <v>198</v>
      </c>
      <c r="D153" s="35"/>
      <c r="E153" s="35"/>
      <c r="F153" s="35"/>
      <c r="G153" s="35"/>
      <c r="H153" s="35"/>
      <c r="I153" s="35"/>
      <c r="J153" s="35"/>
      <c r="K153" s="35"/>
      <c r="L153" s="316">
        <f>G36+H36+I36+J36</f>
        <v>6029806.3448781548</v>
      </c>
      <c r="M153" s="317"/>
      <c r="N153" s="93"/>
      <c r="O153" s="163"/>
      <c r="P153" s="318">
        <f>$P$152*L153/$L$152</f>
        <v>19464721.012594197</v>
      </c>
      <c r="Q153" s="319"/>
      <c r="R153" s="89"/>
      <c r="S153" s="160"/>
      <c r="T153" s="92">
        <f t="shared" ref="T153:T161" si="19">L153</f>
        <v>6029806.3448781548</v>
      </c>
      <c r="U153" s="160"/>
      <c r="V153" s="90"/>
      <c r="W153" s="7"/>
    </row>
    <row r="154" spans="2:23">
      <c r="B154" s="6"/>
      <c r="C154" s="71" t="s">
        <v>199</v>
      </c>
      <c r="D154" s="35"/>
      <c r="E154" s="35"/>
      <c r="F154" s="35"/>
      <c r="G154" s="35"/>
      <c r="H154" s="35"/>
      <c r="I154" s="35"/>
      <c r="J154" s="35"/>
      <c r="K154" s="35"/>
      <c r="L154" s="316">
        <f>K36+L36+M36+N36</f>
        <v>23199617.315068498</v>
      </c>
      <c r="M154" s="317"/>
      <c r="N154" s="93"/>
      <c r="O154" s="163"/>
      <c r="P154" s="318">
        <f>$P$152*L154/$L$152</f>
        <v>74890312.028069451</v>
      </c>
      <c r="Q154" s="319"/>
      <c r="R154" s="89"/>
      <c r="S154" s="160"/>
      <c r="T154" s="92">
        <f t="shared" si="19"/>
        <v>23199617.315068498</v>
      </c>
      <c r="U154" s="160"/>
      <c r="V154" s="90"/>
      <c r="W154" s="7"/>
    </row>
    <row r="155" spans="2:23">
      <c r="B155" s="6"/>
      <c r="C155" s="105" t="s">
        <v>200</v>
      </c>
      <c r="D155" s="106"/>
      <c r="E155" s="106"/>
      <c r="F155" s="106"/>
      <c r="G155" s="106"/>
      <c r="H155" s="106"/>
      <c r="I155" s="106"/>
      <c r="J155" s="106"/>
      <c r="K155" s="106"/>
      <c r="L155" s="329">
        <f>O36</f>
        <v>0</v>
      </c>
      <c r="M155" s="330"/>
      <c r="N155" s="167"/>
      <c r="O155" s="165"/>
      <c r="P155" s="318">
        <f>$P$152*L155/$L$152</f>
        <v>0</v>
      </c>
      <c r="Q155" s="319"/>
      <c r="R155" s="89"/>
      <c r="S155" s="160"/>
      <c r="T155" s="95">
        <f t="shared" si="19"/>
        <v>0</v>
      </c>
      <c r="U155" s="103"/>
      <c r="V155" s="166"/>
      <c r="W155" s="7"/>
    </row>
    <row r="156" spans="2:23">
      <c r="B156" s="6"/>
      <c r="C156" s="137" t="s">
        <v>201</v>
      </c>
      <c r="D156" s="31"/>
      <c r="E156" s="31"/>
      <c r="F156" s="31"/>
      <c r="G156" s="31"/>
      <c r="H156" s="31"/>
      <c r="I156" s="31"/>
      <c r="J156" s="31"/>
      <c r="K156" s="31"/>
      <c r="L156" s="322">
        <f>P36+Q36+R36</f>
        <v>6138638.2465753425</v>
      </c>
      <c r="M156" s="323"/>
      <c r="N156" s="323"/>
      <c r="O156" s="323"/>
      <c r="P156" s="328">
        <f>P152-T152</f>
        <v>65125609.380716994</v>
      </c>
      <c r="Q156" s="328"/>
      <c r="R156" s="328"/>
      <c r="S156" s="328"/>
      <c r="T156" s="281">
        <f t="shared" si="19"/>
        <v>6138638.2465753425</v>
      </c>
      <c r="U156" s="282"/>
      <c r="V156" s="283"/>
      <c r="W156" s="7"/>
    </row>
    <row r="157" spans="2:23">
      <c r="B157" s="6"/>
      <c r="C157" s="137" t="s">
        <v>202</v>
      </c>
      <c r="D157" s="31"/>
      <c r="E157" s="31"/>
      <c r="F157" s="31"/>
      <c r="G157" s="31"/>
      <c r="H157" s="31"/>
      <c r="I157" s="31"/>
      <c r="J157" s="31"/>
      <c r="K157" s="31"/>
      <c r="L157" s="322">
        <f>S36+V36+U36+T36</f>
        <v>1990905.2054794524</v>
      </c>
      <c r="M157" s="323"/>
      <c r="N157" s="323"/>
      <c r="O157" s="323"/>
      <c r="P157" s="328">
        <f>P156-T156</f>
        <v>58986971.134141654</v>
      </c>
      <c r="Q157" s="328"/>
      <c r="R157" s="328"/>
      <c r="S157" s="328"/>
      <c r="T157" s="281">
        <f t="shared" si="19"/>
        <v>1990905.2054794524</v>
      </c>
      <c r="U157" s="282"/>
      <c r="V157" s="283"/>
      <c r="W157" s="7"/>
    </row>
    <row r="158" spans="2:23">
      <c r="B158" s="6"/>
      <c r="C158" s="137" t="s">
        <v>203</v>
      </c>
      <c r="D158" s="31"/>
      <c r="E158" s="31"/>
      <c r="F158" s="31"/>
      <c r="G158" s="31"/>
      <c r="H158" s="31"/>
      <c r="I158" s="31"/>
      <c r="J158" s="31"/>
      <c r="K158" s="31"/>
      <c r="L158" s="322">
        <v>0</v>
      </c>
      <c r="M158" s="323"/>
      <c r="N158" s="323"/>
      <c r="O158" s="323"/>
      <c r="P158" s="328">
        <f>P157-T157</f>
        <v>56996065.928662203</v>
      </c>
      <c r="Q158" s="328"/>
      <c r="R158" s="328"/>
      <c r="S158" s="328"/>
      <c r="T158" s="281">
        <f t="shared" si="19"/>
        <v>0</v>
      </c>
      <c r="U158" s="282"/>
      <c r="V158" s="283"/>
      <c r="W158" s="7"/>
    </row>
    <row r="159" spans="2:23">
      <c r="B159" s="6"/>
      <c r="C159" s="137" t="s">
        <v>204</v>
      </c>
      <c r="D159" s="31"/>
      <c r="E159" s="31"/>
      <c r="F159" s="31"/>
      <c r="G159" s="31"/>
      <c r="H159" s="31"/>
      <c r="I159" s="31"/>
      <c r="J159" s="31"/>
      <c r="K159" s="31"/>
      <c r="L159" s="322">
        <v>0</v>
      </c>
      <c r="M159" s="323"/>
      <c r="N159" s="323"/>
      <c r="O159" s="323"/>
      <c r="P159" s="328">
        <f>P158-T158</f>
        <v>56996065.928662203</v>
      </c>
      <c r="Q159" s="328"/>
      <c r="R159" s="328"/>
      <c r="S159" s="328"/>
      <c r="T159" s="281">
        <f t="shared" si="19"/>
        <v>0</v>
      </c>
      <c r="U159" s="282"/>
      <c r="V159" s="283"/>
      <c r="W159" s="7"/>
    </row>
    <row r="160" spans="2:23">
      <c r="B160" s="6"/>
      <c r="C160" s="137" t="s">
        <v>205</v>
      </c>
      <c r="D160" s="31"/>
      <c r="E160" s="31"/>
      <c r="F160" s="31"/>
      <c r="G160" s="31"/>
      <c r="H160" s="31"/>
      <c r="I160" s="31"/>
      <c r="J160" s="31"/>
      <c r="K160" s="31"/>
      <c r="L160" s="322">
        <v>0</v>
      </c>
      <c r="M160" s="323"/>
      <c r="N160" s="323"/>
      <c r="O160" s="323"/>
      <c r="P160" s="328">
        <f>P159-T159</f>
        <v>56996065.928662203</v>
      </c>
      <c r="Q160" s="328"/>
      <c r="R160" s="328"/>
      <c r="S160" s="328"/>
      <c r="T160" s="281">
        <f t="shared" si="19"/>
        <v>0</v>
      </c>
      <c r="U160" s="282"/>
      <c r="V160" s="283"/>
      <c r="W160" s="7"/>
    </row>
    <row r="161" spans="2:23">
      <c r="B161" s="6"/>
      <c r="C161" s="137" t="s">
        <v>206</v>
      </c>
      <c r="D161" s="31"/>
      <c r="E161" s="31"/>
      <c r="F161" s="31"/>
      <c r="G161" s="31"/>
      <c r="H161" s="31"/>
      <c r="I161" s="31"/>
      <c r="J161" s="31"/>
      <c r="K161" s="31"/>
      <c r="L161" s="322">
        <f>Q204</f>
        <v>0</v>
      </c>
      <c r="M161" s="323"/>
      <c r="N161" s="323"/>
      <c r="O161" s="323"/>
      <c r="P161" s="328">
        <f>P157-T157</f>
        <v>56996065.928662203</v>
      </c>
      <c r="Q161" s="328"/>
      <c r="R161" s="328"/>
      <c r="S161" s="328"/>
      <c r="T161" s="281">
        <f t="shared" si="19"/>
        <v>0</v>
      </c>
      <c r="U161" s="282"/>
      <c r="V161" s="283"/>
      <c r="W161" s="7"/>
    </row>
    <row r="162" spans="2:23">
      <c r="B162" s="6"/>
      <c r="C162" s="112" t="s">
        <v>207</v>
      </c>
      <c r="D162" s="85"/>
      <c r="E162" s="85"/>
      <c r="F162" s="85"/>
      <c r="G162" s="85"/>
      <c r="H162" s="85"/>
      <c r="I162" s="85"/>
      <c r="J162" s="85"/>
      <c r="K162" s="85"/>
      <c r="L162" s="322">
        <f>SUM(L163,L167:M168)</f>
        <v>11930201.559999999</v>
      </c>
      <c r="M162" s="323"/>
      <c r="N162" s="323"/>
      <c r="O162" s="323"/>
      <c r="P162" s="318">
        <f>P161-T161</f>
        <v>56996065.928662203</v>
      </c>
      <c r="Q162" s="319"/>
      <c r="R162" s="319"/>
      <c r="S162" s="324"/>
      <c r="T162" s="325">
        <f>SUM(T163,Q167:S168)</f>
        <v>11930201.559999999</v>
      </c>
      <c r="U162" s="326"/>
      <c r="V162" s="327"/>
      <c r="W162" s="7"/>
    </row>
    <row r="163" spans="2:23">
      <c r="B163" s="6"/>
      <c r="C163" s="71" t="s">
        <v>208</v>
      </c>
      <c r="D163" s="35"/>
      <c r="E163" s="35"/>
      <c r="F163" s="35"/>
      <c r="G163" s="35"/>
      <c r="H163" s="35"/>
      <c r="I163" s="35"/>
      <c r="J163" s="35"/>
      <c r="K163" s="35"/>
      <c r="L163" s="316">
        <f>SUM(L164:M166)</f>
        <v>11930201.559999999</v>
      </c>
      <c r="M163" s="317"/>
      <c r="N163" s="93"/>
      <c r="O163" s="168"/>
      <c r="P163" s="318">
        <f>L163/$L$162*P162</f>
        <v>56996065.928662203</v>
      </c>
      <c r="Q163" s="319"/>
      <c r="R163" s="89"/>
      <c r="S163" s="160"/>
      <c r="T163" s="92">
        <f t="shared" ref="T163:T170" si="20">L163</f>
        <v>11930201.559999999</v>
      </c>
      <c r="U163" s="160"/>
      <c r="V163" s="169"/>
      <c r="W163" s="7"/>
    </row>
    <row r="164" spans="2:23">
      <c r="B164" s="6"/>
      <c r="C164" s="108" t="s">
        <v>209</v>
      </c>
      <c r="D164" s="35"/>
      <c r="E164" s="35"/>
      <c r="F164" s="35"/>
      <c r="G164" s="35"/>
      <c r="H164" s="35"/>
      <c r="I164" s="35"/>
      <c r="J164" s="35"/>
      <c r="K164" s="35"/>
      <c r="L164" s="316">
        <f>S102</f>
        <v>11930201.559999999</v>
      </c>
      <c r="M164" s="317"/>
      <c r="N164" s="93"/>
      <c r="O164" s="168"/>
      <c r="P164" s="318">
        <f>L164/$L$162*P162</f>
        <v>56996065.928662203</v>
      </c>
      <c r="Q164" s="319"/>
      <c r="R164" s="89"/>
      <c r="S164" s="160"/>
      <c r="T164" s="92">
        <f t="shared" si="20"/>
        <v>11930201.559999999</v>
      </c>
      <c r="U164" s="160"/>
      <c r="V164" s="169"/>
      <c r="W164" s="7"/>
    </row>
    <row r="165" spans="2:23">
      <c r="B165" s="6"/>
      <c r="C165" s="108" t="s">
        <v>210</v>
      </c>
      <c r="D165" s="35"/>
      <c r="E165" s="35"/>
      <c r="F165" s="35"/>
      <c r="G165" s="35"/>
      <c r="H165" s="35"/>
      <c r="I165" s="35"/>
      <c r="J165" s="35"/>
      <c r="K165" s="35"/>
      <c r="L165" s="316">
        <v>0</v>
      </c>
      <c r="M165" s="317"/>
      <c r="N165" s="93"/>
      <c r="O165" s="168"/>
      <c r="P165" s="318">
        <f>L165/$L$162*P162</f>
        <v>0</v>
      </c>
      <c r="Q165" s="319"/>
      <c r="R165" s="89"/>
      <c r="S165" s="160"/>
      <c r="T165" s="92">
        <f t="shared" si="20"/>
        <v>0</v>
      </c>
      <c r="U165" s="160"/>
      <c r="V165" s="169"/>
      <c r="W165" s="7"/>
    </row>
    <row r="166" spans="2:23">
      <c r="B166" s="6"/>
      <c r="C166" s="108" t="s">
        <v>28</v>
      </c>
      <c r="D166" s="35"/>
      <c r="E166" s="35"/>
      <c r="F166" s="35"/>
      <c r="G166" s="35"/>
      <c r="H166" s="35"/>
      <c r="I166" s="35"/>
      <c r="J166" s="35"/>
      <c r="K166" s="35"/>
      <c r="L166" s="316">
        <v>0</v>
      </c>
      <c r="M166" s="317"/>
      <c r="N166" s="93"/>
      <c r="O166" s="168"/>
      <c r="P166" s="318">
        <f>L166/$L$162*P162</f>
        <v>0</v>
      </c>
      <c r="Q166" s="319"/>
      <c r="R166" s="89"/>
      <c r="S166" s="160"/>
      <c r="T166" s="92">
        <f t="shared" si="20"/>
        <v>0</v>
      </c>
      <c r="U166" s="160"/>
      <c r="V166" s="169"/>
      <c r="W166" s="7"/>
    </row>
    <row r="167" spans="2:23">
      <c r="B167" s="6"/>
      <c r="C167" s="71" t="s">
        <v>211</v>
      </c>
      <c r="D167" s="35"/>
      <c r="E167" s="35"/>
      <c r="F167" s="35"/>
      <c r="G167" s="35"/>
      <c r="H167" s="35"/>
      <c r="I167" s="35"/>
      <c r="J167" s="35"/>
      <c r="K167" s="35"/>
      <c r="L167" s="316">
        <v>0</v>
      </c>
      <c r="M167" s="317"/>
      <c r="N167" s="93"/>
      <c r="O167" s="168"/>
      <c r="P167" s="318">
        <f>L167/$L$162*P162</f>
        <v>0</v>
      </c>
      <c r="Q167" s="319"/>
      <c r="R167" s="89"/>
      <c r="S167" s="160"/>
      <c r="T167" s="92">
        <f t="shared" si="20"/>
        <v>0</v>
      </c>
      <c r="U167" s="160"/>
      <c r="V167" s="169"/>
      <c r="W167" s="7"/>
    </row>
    <row r="168" spans="2:23">
      <c r="B168" s="6"/>
      <c r="C168" s="105" t="s">
        <v>212</v>
      </c>
      <c r="D168" s="106"/>
      <c r="E168" s="106"/>
      <c r="F168" s="106"/>
      <c r="G168" s="106"/>
      <c r="H168" s="106"/>
      <c r="I168" s="106"/>
      <c r="J168" s="106"/>
      <c r="K168" s="106"/>
      <c r="L168" s="316">
        <v>0</v>
      </c>
      <c r="M168" s="317"/>
      <c r="N168" s="93"/>
      <c r="O168" s="165"/>
      <c r="P168" s="318">
        <f>L168/$L$162*P162</f>
        <v>0</v>
      </c>
      <c r="Q168" s="319"/>
      <c r="R168" s="89"/>
      <c r="S168" s="160"/>
      <c r="T168" s="92">
        <f t="shared" si="20"/>
        <v>0</v>
      </c>
      <c r="U168" s="160"/>
      <c r="V168" s="166"/>
      <c r="W168" s="7"/>
    </row>
    <row r="169" spans="2:23">
      <c r="B169" s="6"/>
      <c r="C169" s="137" t="s">
        <v>213</v>
      </c>
      <c r="D169" s="31"/>
      <c r="E169" s="31"/>
      <c r="F169" s="31"/>
      <c r="G169" s="31"/>
      <c r="H169" s="31"/>
      <c r="I169" s="31"/>
      <c r="J169" s="31"/>
      <c r="K169" s="31"/>
      <c r="L169" s="303">
        <f>Q195</f>
        <v>37537260.791000001</v>
      </c>
      <c r="M169" s="304"/>
      <c r="N169" s="304"/>
      <c r="O169" s="304"/>
      <c r="P169" s="320">
        <f>P162-T162</f>
        <v>45065864.368662208</v>
      </c>
      <c r="Q169" s="320"/>
      <c r="R169" s="320"/>
      <c r="S169" s="320"/>
      <c r="T169" s="286">
        <f t="shared" si="20"/>
        <v>37537260.791000001</v>
      </c>
      <c r="U169" s="287"/>
      <c r="V169" s="288"/>
      <c r="W169" s="7"/>
    </row>
    <row r="170" spans="2:23">
      <c r="B170" s="6"/>
      <c r="C170" s="137" t="s">
        <v>214</v>
      </c>
      <c r="D170" s="31"/>
      <c r="E170" s="31"/>
      <c r="F170" s="31"/>
      <c r="G170" s="31"/>
      <c r="H170" s="31"/>
      <c r="I170" s="31"/>
      <c r="J170" s="31"/>
      <c r="K170" s="31"/>
      <c r="L170" s="303">
        <v>0</v>
      </c>
      <c r="M170" s="304"/>
      <c r="N170" s="304"/>
      <c r="O170" s="304"/>
      <c r="P170" s="321">
        <f>P169-T169</f>
        <v>7528603.5776622072</v>
      </c>
      <c r="Q170" s="321"/>
      <c r="R170" s="321"/>
      <c r="S170" s="321"/>
      <c r="T170" s="286">
        <f t="shared" si="20"/>
        <v>0</v>
      </c>
      <c r="U170" s="287"/>
      <c r="V170" s="288"/>
      <c r="W170" s="7"/>
    </row>
    <row r="171" spans="2:23">
      <c r="B171" s="6"/>
      <c r="C171" s="112" t="s">
        <v>215</v>
      </c>
      <c r="D171" s="85"/>
      <c r="E171" s="85"/>
      <c r="F171" s="85"/>
      <c r="G171" s="85"/>
      <c r="H171" s="85"/>
      <c r="I171" s="85"/>
      <c r="J171" s="85"/>
      <c r="K171" s="85"/>
      <c r="L171" s="303">
        <f>SUM(L172:M173)</f>
        <v>0</v>
      </c>
      <c r="M171" s="304"/>
      <c r="N171" s="304"/>
      <c r="O171" s="304"/>
      <c r="P171" s="310">
        <f>P170-T170</f>
        <v>7528603.5776622072</v>
      </c>
      <c r="Q171" s="311"/>
      <c r="R171" s="311"/>
      <c r="S171" s="313"/>
      <c r="T171" s="311">
        <f>SUM(Q172:S173)</f>
        <v>0</v>
      </c>
      <c r="U171" s="311"/>
      <c r="V171" s="312"/>
      <c r="W171" s="7"/>
    </row>
    <row r="172" spans="2:23">
      <c r="B172" s="6"/>
      <c r="C172" s="71" t="s">
        <v>211</v>
      </c>
      <c r="D172" s="35"/>
      <c r="E172" s="35"/>
      <c r="F172" s="35"/>
      <c r="G172" s="35"/>
      <c r="H172" s="35"/>
      <c r="I172" s="35"/>
      <c r="J172" s="35"/>
      <c r="K172" s="35"/>
      <c r="L172" s="299">
        <v>0</v>
      </c>
      <c r="M172" s="300"/>
      <c r="N172" s="96"/>
      <c r="O172" s="128"/>
      <c r="P172" s="301">
        <f>IFERROR(L172/$L$171*$P$171,0)</f>
        <v>0</v>
      </c>
      <c r="Q172" s="302"/>
      <c r="R172" s="128"/>
      <c r="S172" s="170"/>
      <c r="T172" s="171">
        <f>L172</f>
        <v>0</v>
      </c>
      <c r="U172" s="171"/>
      <c r="V172" s="172"/>
      <c r="W172" s="7"/>
    </row>
    <row r="173" spans="2:23">
      <c r="B173" s="6"/>
      <c r="C173" s="105" t="s">
        <v>212</v>
      </c>
      <c r="D173" s="106"/>
      <c r="E173" s="106"/>
      <c r="F173" s="106"/>
      <c r="G173" s="106"/>
      <c r="H173" s="106"/>
      <c r="I173" s="106"/>
      <c r="J173" s="106"/>
      <c r="K173" s="106"/>
      <c r="L173" s="299">
        <v>0</v>
      </c>
      <c r="M173" s="300"/>
      <c r="N173" s="96"/>
      <c r="O173" s="128"/>
      <c r="P173" s="314">
        <f>IFERROR(L173/$L$171*$P$171,0)</f>
        <v>0</v>
      </c>
      <c r="Q173" s="315"/>
      <c r="R173" s="173"/>
      <c r="S173" s="174"/>
      <c r="T173" s="171">
        <f>L173</f>
        <v>0</v>
      </c>
      <c r="U173" s="171"/>
      <c r="V173" s="172"/>
      <c r="W173" s="7"/>
    </row>
    <row r="174" spans="2:23">
      <c r="B174" s="6"/>
      <c r="C174" s="137" t="s">
        <v>216</v>
      </c>
      <c r="D174" s="106"/>
      <c r="E174" s="106"/>
      <c r="F174" s="106"/>
      <c r="G174" s="106"/>
      <c r="H174" s="106"/>
      <c r="I174" s="106"/>
      <c r="J174" s="106"/>
      <c r="K174" s="106"/>
      <c r="L174" s="303">
        <v>0</v>
      </c>
      <c r="M174" s="304"/>
      <c r="N174" s="304"/>
      <c r="O174" s="304"/>
      <c r="P174" s="310">
        <f>P171-T171</f>
        <v>7528603.5776622072</v>
      </c>
      <c r="Q174" s="311"/>
      <c r="R174" s="311"/>
      <c r="S174" s="313"/>
      <c r="T174" s="286">
        <f>L174</f>
        <v>0</v>
      </c>
      <c r="U174" s="287"/>
      <c r="V174" s="288"/>
      <c r="W174" s="7"/>
    </row>
    <row r="175" spans="2:23">
      <c r="B175" s="6"/>
      <c r="C175" s="137" t="s">
        <v>217</v>
      </c>
      <c r="D175" s="31"/>
      <c r="E175" s="31"/>
      <c r="F175" s="31"/>
      <c r="G175" s="31"/>
      <c r="H175" s="31"/>
      <c r="I175" s="31"/>
      <c r="J175" s="31"/>
      <c r="K175" s="31"/>
      <c r="L175" s="303">
        <v>0</v>
      </c>
      <c r="M175" s="304"/>
      <c r="N175" s="304"/>
      <c r="O175" s="304"/>
      <c r="P175" s="310">
        <f>P174-T174</f>
        <v>7528603.5776622072</v>
      </c>
      <c r="Q175" s="311"/>
      <c r="R175" s="311"/>
      <c r="S175" s="313"/>
      <c r="T175" s="286">
        <f>L175</f>
        <v>0</v>
      </c>
      <c r="U175" s="287"/>
      <c r="V175" s="288"/>
      <c r="W175" s="7"/>
    </row>
    <row r="176" spans="2:23">
      <c r="B176" s="6"/>
      <c r="C176" s="112" t="s">
        <v>218</v>
      </c>
      <c r="D176" s="85"/>
      <c r="E176" s="85"/>
      <c r="F176" s="85"/>
      <c r="G176" s="85"/>
      <c r="H176" s="85"/>
      <c r="I176" s="85"/>
      <c r="J176" s="85"/>
      <c r="K176" s="85"/>
      <c r="L176" s="303">
        <f>SUM(L177:O177)</f>
        <v>0</v>
      </c>
      <c r="M176" s="304"/>
      <c r="N176" s="304"/>
      <c r="O176" s="304"/>
      <c r="P176" s="310">
        <f>P175-T175</f>
        <v>7528603.5776622072</v>
      </c>
      <c r="Q176" s="311"/>
      <c r="R176" s="311"/>
      <c r="S176" s="313"/>
      <c r="T176" s="311">
        <f>SUM(T177)</f>
        <v>0</v>
      </c>
      <c r="U176" s="311"/>
      <c r="V176" s="312"/>
      <c r="W176" s="7"/>
    </row>
    <row r="177" spans="2:25">
      <c r="B177" s="6"/>
      <c r="C177" s="105" t="s">
        <v>212</v>
      </c>
      <c r="D177" s="106"/>
      <c r="E177" s="106"/>
      <c r="F177" s="106"/>
      <c r="G177" s="106"/>
      <c r="H177" s="106"/>
      <c r="I177" s="106"/>
      <c r="J177" s="106"/>
      <c r="K177" s="106"/>
      <c r="L177" s="299">
        <v>0</v>
      </c>
      <c r="M177" s="300"/>
      <c r="N177" s="96"/>
      <c r="O177" s="128"/>
      <c r="P177" s="314">
        <f>P176</f>
        <v>7528603.5776622072</v>
      </c>
      <c r="Q177" s="315"/>
      <c r="R177" s="173"/>
      <c r="S177" s="174"/>
      <c r="T177" s="171">
        <f>L177</f>
        <v>0</v>
      </c>
      <c r="U177" s="171"/>
      <c r="V177" s="172"/>
      <c r="W177" s="7"/>
    </row>
    <row r="178" spans="2:25">
      <c r="B178" s="6"/>
      <c r="C178" s="137" t="s">
        <v>219</v>
      </c>
      <c r="D178" s="31"/>
      <c r="E178" s="31"/>
      <c r="F178" s="31"/>
      <c r="G178" s="31"/>
      <c r="H178" s="31"/>
      <c r="I178" s="31"/>
      <c r="J178" s="31"/>
      <c r="K178" s="31"/>
      <c r="L178" s="303">
        <v>0</v>
      </c>
      <c r="M178" s="304"/>
      <c r="N178" s="304"/>
      <c r="O178" s="304"/>
      <c r="P178" s="301">
        <f>P176-T176</f>
        <v>7528603.5776622072</v>
      </c>
      <c r="Q178" s="302"/>
      <c r="R178" s="302"/>
      <c r="S178" s="309"/>
      <c r="T178" s="286">
        <f>L178</f>
        <v>0</v>
      </c>
      <c r="U178" s="287"/>
      <c r="V178" s="288"/>
      <c r="W178" s="7"/>
    </row>
    <row r="179" spans="2:25">
      <c r="B179" s="6"/>
      <c r="C179" s="137" t="s">
        <v>220</v>
      </c>
      <c r="D179" s="31"/>
      <c r="E179" s="31"/>
      <c r="F179" s="31"/>
      <c r="G179" s="31"/>
      <c r="H179" s="31"/>
      <c r="I179" s="31"/>
      <c r="J179" s="31"/>
      <c r="K179" s="31"/>
      <c r="L179" s="303">
        <v>0</v>
      </c>
      <c r="M179" s="304"/>
      <c r="N179" s="304"/>
      <c r="O179" s="304"/>
      <c r="P179" s="310">
        <f>P178-T178</f>
        <v>7528603.5776622072</v>
      </c>
      <c r="Q179" s="311"/>
      <c r="R179" s="311"/>
      <c r="S179" s="313"/>
      <c r="T179" s="286">
        <f>L179</f>
        <v>0</v>
      </c>
      <c r="U179" s="287"/>
      <c r="V179" s="288"/>
      <c r="W179" s="7"/>
    </row>
    <row r="180" spans="2:25">
      <c r="B180" s="6"/>
      <c r="C180" s="137" t="s">
        <v>221</v>
      </c>
      <c r="D180" s="31"/>
      <c r="E180" s="31"/>
      <c r="F180" s="31"/>
      <c r="G180" s="31"/>
      <c r="H180" s="31"/>
      <c r="I180" s="31"/>
      <c r="J180" s="31"/>
      <c r="K180" s="31"/>
      <c r="L180" s="303">
        <v>194987.5</v>
      </c>
      <c r="M180" s="304"/>
      <c r="N180" s="304"/>
      <c r="O180" s="304"/>
      <c r="P180" s="286">
        <f>P179-T179</f>
        <v>7528603.5776622072</v>
      </c>
      <c r="Q180" s="287"/>
      <c r="R180" s="287"/>
      <c r="S180" s="305"/>
      <c r="T180" s="286">
        <f>L180</f>
        <v>194987.5</v>
      </c>
      <c r="U180" s="287"/>
      <c r="V180" s="288"/>
      <c r="W180" s="7"/>
    </row>
    <row r="181" spans="2:25">
      <c r="B181" s="6"/>
      <c r="C181" s="112" t="s">
        <v>222</v>
      </c>
      <c r="D181" s="85"/>
      <c r="E181" s="85"/>
      <c r="F181" s="85"/>
      <c r="G181" s="85"/>
      <c r="H181" s="85"/>
      <c r="I181" s="85"/>
      <c r="J181" s="85"/>
      <c r="K181" s="85"/>
      <c r="L181" s="303">
        <f>SUM(L182:M184)</f>
        <v>7109790.9039624799</v>
      </c>
      <c r="M181" s="304"/>
      <c r="N181" s="304"/>
      <c r="O181" s="304"/>
      <c r="P181" s="301">
        <f>P180-T180</f>
        <v>7333616.0776622072</v>
      </c>
      <c r="Q181" s="302"/>
      <c r="R181" s="302"/>
      <c r="S181" s="309"/>
      <c r="T181" s="310">
        <f>SUM(T182:T184)</f>
        <v>7109790.9039624799</v>
      </c>
      <c r="U181" s="311"/>
      <c r="V181" s="312"/>
      <c r="W181" s="7"/>
    </row>
    <row r="182" spans="2:25">
      <c r="B182" s="6"/>
      <c r="C182" s="71" t="s">
        <v>223</v>
      </c>
      <c r="D182" s="35"/>
      <c r="E182" s="35"/>
      <c r="F182" s="35"/>
      <c r="G182" s="35"/>
      <c r="H182" s="35"/>
      <c r="I182" s="35"/>
      <c r="J182" s="35"/>
      <c r="K182" s="35"/>
      <c r="L182" s="299">
        <f>Q215</f>
        <v>7109790.9039624799</v>
      </c>
      <c r="M182" s="300"/>
      <c r="N182" s="96"/>
      <c r="O182" s="128"/>
      <c r="P182" s="301">
        <f>L182/$L$181*P181</f>
        <v>7333616.0776622072</v>
      </c>
      <c r="Q182" s="302"/>
      <c r="R182" s="128"/>
      <c r="S182" s="171"/>
      <c r="T182" s="175">
        <f>L182</f>
        <v>7109790.9039624799</v>
      </c>
      <c r="U182" s="171"/>
      <c r="V182" s="172"/>
      <c r="W182" s="7"/>
    </row>
    <row r="183" spans="2:25">
      <c r="B183" s="6"/>
      <c r="C183" s="71" t="s">
        <v>224</v>
      </c>
      <c r="D183" s="35"/>
      <c r="E183" s="35"/>
      <c r="F183" s="35"/>
      <c r="G183" s="35"/>
      <c r="H183" s="35"/>
      <c r="I183" s="35"/>
      <c r="J183" s="35"/>
      <c r="K183" s="35"/>
      <c r="L183" s="299">
        <v>0</v>
      </c>
      <c r="M183" s="300"/>
      <c r="N183" s="96"/>
      <c r="O183" s="128"/>
      <c r="P183" s="301">
        <f>L183/$L$181*P182</f>
        <v>0</v>
      </c>
      <c r="Q183" s="302"/>
      <c r="R183" s="128"/>
      <c r="S183" s="171"/>
      <c r="T183" s="175">
        <f>L183</f>
        <v>0</v>
      </c>
      <c r="U183" s="171"/>
      <c r="V183" s="172"/>
      <c r="W183" s="7"/>
    </row>
    <row r="184" spans="2:25">
      <c r="B184" s="6"/>
      <c r="C184" s="105" t="s">
        <v>225</v>
      </c>
      <c r="D184" s="106"/>
      <c r="E184" s="106"/>
      <c r="F184" s="106"/>
      <c r="G184" s="106"/>
      <c r="H184" s="106"/>
      <c r="I184" s="106"/>
      <c r="J184" s="106"/>
      <c r="K184" s="106"/>
      <c r="L184" s="299">
        <v>0</v>
      </c>
      <c r="M184" s="300"/>
      <c r="N184" s="96"/>
      <c r="O184" s="128"/>
      <c r="P184" s="301">
        <f>L184/$L$181*P181</f>
        <v>0</v>
      </c>
      <c r="Q184" s="302"/>
      <c r="R184" s="128"/>
      <c r="S184" s="171"/>
      <c r="T184" s="175">
        <f>L184</f>
        <v>0</v>
      </c>
      <c r="U184" s="171"/>
      <c r="V184" s="172"/>
      <c r="W184" s="7"/>
    </row>
    <row r="185" spans="2:25">
      <c r="B185" s="6"/>
      <c r="C185" s="137" t="s">
        <v>226</v>
      </c>
      <c r="D185" s="31"/>
      <c r="E185" s="31"/>
      <c r="F185" s="31"/>
      <c r="G185" s="31"/>
      <c r="H185" s="31"/>
      <c r="I185" s="31"/>
      <c r="J185" s="31"/>
      <c r="K185" s="31"/>
      <c r="L185" s="303">
        <v>0</v>
      </c>
      <c r="M185" s="304"/>
      <c r="N185" s="304"/>
      <c r="O185" s="304"/>
      <c r="P185" s="286">
        <f>P181-T181</f>
        <v>223825.17369972728</v>
      </c>
      <c r="Q185" s="287"/>
      <c r="R185" s="287"/>
      <c r="S185" s="305"/>
      <c r="T185" s="286">
        <f>L185</f>
        <v>0</v>
      </c>
      <c r="U185" s="287"/>
      <c r="V185" s="288"/>
      <c r="W185" s="7"/>
    </row>
    <row r="186" spans="2:25">
      <c r="B186" s="6"/>
      <c r="C186" s="137" t="s">
        <v>227</v>
      </c>
      <c r="D186" s="31"/>
      <c r="E186" s="31"/>
      <c r="F186" s="31"/>
      <c r="G186" s="31"/>
      <c r="H186" s="31"/>
      <c r="I186" s="31"/>
      <c r="J186" s="31"/>
      <c r="K186" s="31"/>
      <c r="L186" s="306">
        <v>223825.03</v>
      </c>
      <c r="M186" s="307"/>
      <c r="N186" s="307"/>
      <c r="O186" s="308"/>
      <c r="P186" s="286">
        <f>P185-T185</f>
        <v>223825.17369972728</v>
      </c>
      <c r="Q186" s="287"/>
      <c r="R186" s="287"/>
      <c r="S186" s="305"/>
      <c r="T186" s="286">
        <f>L186</f>
        <v>223825.03</v>
      </c>
      <c r="U186" s="287"/>
      <c r="V186" s="288"/>
      <c r="W186" s="7"/>
    </row>
    <row r="187" spans="2:25" ht="15" thickBot="1">
      <c r="B187" s="6"/>
      <c r="C187" s="176" t="s">
        <v>228</v>
      </c>
      <c r="D187" s="177"/>
      <c r="E187" s="178"/>
      <c r="F187" s="177"/>
      <c r="G187" s="177"/>
      <c r="H187" s="177"/>
      <c r="I187" s="177"/>
      <c r="J187" s="177"/>
      <c r="K187" s="178"/>
      <c r="L187" s="290">
        <f>SUM(L139,L140,L143,L146,L150,L151,L152,L156:O162,L169:O171,L174:O176,L178:O181,L185:O186)</f>
        <v>106523112.52630024</v>
      </c>
      <c r="M187" s="291"/>
      <c r="N187" s="291"/>
      <c r="O187" s="292"/>
      <c r="P187" s="290">
        <f>P139</f>
        <v>106523112.66999996</v>
      </c>
      <c r="Q187" s="291"/>
      <c r="R187" s="291"/>
      <c r="S187" s="292"/>
      <c r="T187" s="293">
        <f>P187</f>
        <v>106523112.66999996</v>
      </c>
      <c r="U187" s="294"/>
      <c r="V187" s="295"/>
      <c r="W187" s="7"/>
      <c r="Y187" s="27"/>
    </row>
    <row r="188" spans="2:25" ht="15" thickBot="1">
      <c r="B188" s="6"/>
      <c r="C188" s="124"/>
      <c r="D188" s="9"/>
      <c r="E188" s="9"/>
      <c r="F188" s="9"/>
      <c r="G188" s="9"/>
      <c r="H188" s="9"/>
      <c r="I188" s="9"/>
      <c r="J188" s="9"/>
      <c r="K188" s="9"/>
      <c r="L188" s="9"/>
      <c r="M188" s="9"/>
      <c r="N188" s="9"/>
      <c r="O188" s="9"/>
      <c r="P188" s="9"/>
      <c r="Q188" s="9"/>
      <c r="R188" s="9"/>
      <c r="S188" s="9"/>
      <c r="T188" s="9"/>
      <c r="U188" s="9"/>
      <c r="V188" s="9"/>
      <c r="W188" s="7"/>
    </row>
    <row r="189" spans="2:25">
      <c r="B189" s="6"/>
      <c r="C189" s="296" t="s">
        <v>229</v>
      </c>
      <c r="D189" s="297"/>
      <c r="E189" s="297"/>
      <c r="F189" s="297"/>
      <c r="G189" s="297"/>
      <c r="H189" s="297"/>
      <c r="I189" s="297"/>
      <c r="J189" s="297"/>
      <c r="K189" s="297"/>
      <c r="L189" s="297"/>
      <c r="M189" s="297"/>
      <c r="N189" s="297"/>
      <c r="O189" s="297"/>
      <c r="P189" s="297"/>
      <c r="Q189" s="297"/>
      <c r="R189" s="297"/>
      <c r="S189" s="297"/>
      <c r="T189" s="297"/>
      <c r="U189" s="297"/>
      <c r="V189" s="298"/>
      <c r="W189" s="7"/>
    </row>
    <row r="190" spans="2:25">
      <c r="B190" s="6"/>
      <c r="C190" s="137" t="s">
        <v>230</v>
      </c>
      <c r="D190" s="179"/>
      <c r="E190" s="179"/>
      <c r="F190" s="179"/>
      <c r="G190" s="179"/>
      <c r="H190" s="179"/>
      <c r="I190" s="179"/>
      <c r="J190" s="179"/>
      <c r="K190" s="179"/>
      <c r="L190" s="179"/>
      <c r="M190" s="179"/>
      <c r="N190" s="179"/>
      <c r="O190" s="179"/>
      <c r="P190" s="180"/>
      <c r="Q190" s="282">
        <v>37537260.791000001</v>
      </c>
      <c r="R190" s="282"/>
      <c r="S190" s="282"/>
      <c r="T190" s="282"/>
      <c r="U190" s="282"/>
      <c r="V190" s="283"/>
      <c r="W190" s="7"/>
    </row>
    <row r="191" spans="2:25">
      <c r="B191" s="6"/>
      <c r="C191" s="137" t="s">
        <v>231</v>
      </c>
      <c r="D191" s="23"/>
      <c r="E191" s="23"/>
      <c r="F191" s="23"/>
      <c r="G191" s="23"/>
      <c r="H191" s="23"/>
      <c r="I191" s="23"/>
      <c r="J191" s="23"/>
      <c r="K191" s="23"/>
      <c r="L191" s="23"/>
      <c r="M191" s="23"/>
      <c r="N191" s="23"/>
      <c r="O191" s="23"/>
      <c r="P191" s="138"/>
      <c r="Q191" s="281">
        <v>37537260.791000001</v>
      </c>
      <c r="R191" s="282"/>
      <c r="S191" s="282"/>
      <c r="T191" s="282"/>
      <c r="U191" s="282"/>
      <c r="V191" s="283"/>
      <c r="W191" s="7"/>
    </row>
    <row r="192" spans="2:25">
      <c r="B192" s="6"/>
      <c r="C192" s="24" t="s">
        <v>232</v>
      </c>
      <c r="D192" s="23"/>
      <c r="E192" s="23"/>
      <c r="F192" s="23"/>
      <c r="G192" s="23"/>
      <c r="H192" s="23"/>
      <c r="I192" s="23"/>
      <c r="J192" s="23"/>
      <c r="K192" s="23"/>
      <c r="L192" s="23"/>
      <c r="M192" s="23"/>
      <c r="N192" s="23"/>
      <c r="O192" s="23"/>
      <c r="P192" s="138"/>
      <c r="Q192" s="281">
        <v>37537260.791000001</v>
      </c>
      <c r="R192" s="282"/>
      <c r="S192" s="282"/>
      <c r="T192" s="282"/>
      <c r="U192" s="282"/>
      <c r="V192" s="283"/>
      <c r="W192" s="7"/>
    </row>
    <row r="193" spans="2:23">
      <c r="B193" s="6"/>
      <c r="C193" s="24" t="s">
        <v>233</v>
      </c>
      <c r="D193" s="23"/>
      <c r="E193" s="23"/>
      <c r="F193" s="23"/>
      <c r="G193" s="23"/>
      <c r="H193" s="23"/>
      <c r="I193" s="23"/>
      <c r="J193" s="23"/>
      <c r="K193" s="23"/>
      <c r="L193" s="23"/>
      <c r="M193" s="23"/>
      <c r="N193" s="23"/>
      <c r="O193" s="23"/>
      <c r="P193" s="138"/>
      <c r="Q193" s="286">
        <v>0</v>
      </c>
      <c r="R193" s="287"/>
      <c r="S193" s="287"/>
      <c r="T193" s="287"/>
      <c r="U193" s="287"/>
      <c r="V193" s="288"/>
      <c r="W193" s="7"/>
    </row>
    <row r="194" spans="2:23">
      <c r="B194" s="6"/>
      <c r="C194" s="24" t="s">
        <v>234</v>
      </c>
      <c r="D194" s="23"/>
      <c r="E194" s="23"/>
      <c r="F194" s="23"/>
      <c r="G194" s="23"/>
      <c r="H194" s="23"/>
      <c r="I194" s="23"/>
      <c r="J194" s="23"/>
      <c r="K194" s="23"/>
      <c r="L194" s="23"/>
      <c r="M194" s="23"/>
      <c r="N194" s="23"/>
      <c r="O194" s="23"/>
      <c r="P194" s="138"/>
      <c r="Q194" s="281">
        <v>0</v>
      </c>
      <c r="R194" s="282"/>
      <c r="S194" s="282"/>
      <c r="T194" s="282"/>
      <c r="U194" s="282"/>
      <c r="V194" s="283"/>
      <c r="W194" s="7"/>
    </row>
    <row r="195" spans="2:23" ht="15" thickBot="1">
      <c r="B195" s="6"/>
      <c r="C195" s="28" t="s">
        <v>235</v>
      </c>
      <c r="D195" s="29"/>
      <c r="E195" s="29"/>
      <c r="F195" s="29"/>
      <c r="G195" s="29"/>
      <c r="H195" s="29"/>
      <c r="I195" s="29"/>
      <c r="J195" s="29"/>
      <c r="K195" s="29"/>
      <c r="L195" s="29"/>
      <c r="M195" s="29"/>
      <c r="N195" s="29"/>
      <c r="O195" s="29"/>
      <c r="P195" s="140"/>
      <c r="Q195" s="289">
        <f>Q192</f>
        <v>37537260.791000001</v>
      </c>
      <c r="R195" s="284"/>
      <c r="S195" s="284"/>
      <c r="T195" s="284"/>
      <c r="U195" s="284"/>
      <c r="V195" s="285"/>
      <c r="W195" s="7"/>
    </row>
    <row r="196" spans="2:23" ht="15" thickBot="1">
      <c r="B196" s="6"/>
      <c r="C196" s="9"/>
      <c r="D196" s="9"/>
      <c r="E196" s="9"/>
      <c r="F196" s="9"/>
      <c r="G196" s="9"/>
      <c r="H196" s="9"/>
      <c r="I196" s="9"/>
      <c r="J196" s="9"/>
      <c r="K196" s="9"/>
      <c r="L196" s="9"/>
      <c r="M196" s="9"/>
      <c r="N196" s="9"/>
      <c r="O196" s="9"/>
      <c r="P196" s="9"/>
      <c r="Q196" s="9"/>
      <c r="R196" s="9"/>
      <c r="S196" s="9"/>
      <c r="T196" s="9"/>
      <c r="U196" s="9"/>
      <c r="V196" s="9"/>
      <c r="W196" s="7"/>
    </row>
    <row r="197" spans="2:23">
      <c r="B197" s="6"/>
      <c r="C197" s="270" t="s">
        <v>236</v>
      </c>
      <c r="D197" s="271"/>
      <c r="E197" s="271"/>
      <c r="F197" s="271"/>
      <c r="G197" s="271"/>
      <c r="H197" s="271"/>
      <c r="I197" s="271"/>
      <c r="J197" s="271"/>
      <c r="K197" s="271"/>
      <c r="L197" s="271"/>
      <c r="M197" s="271"/>
      <c r="N197" s="271"/>
      <c r="O197" s="271"/>
      <c r="P197" s="271"/>
      <c r="Q197" s="271"/>
      <c r="R197" s="271"/>
      <c r="S197" s="271"/>
      <c r="T197" s="271"/>
      <c r="U197" s="271"/>
      <c r="V197" s="272"/>
      <c r="W197" s="7"/>
    </row>
    <row r="198" spans="2:23">
      <c r="B198" s="6"/>
      <c r="C198" s="137" t="s">
        <v>237</v>
      </c>
      <c r="D198" s="179"/>
      <c r="E198" s="179"/>
      <c r="F198" s="179"/>
      <c r="G198" s="179"/>
      <c r="H198" s="179"/>
      <c r="I198" s="179"/>
      <c r="J198" s="179"/>
      <c r="K198" s="179"/>
      <c r="L198" s="179"/>
      <c r="M198" s="179"/>
      <c r="N198" s="179"/>
      <c r="O198" s="179"/>
      <c r="P198" s="180"/>
      <c r="Q198" s="282">
        <v>0</v>
      </c>
      <c r="R198" s="282"/>
      <c r="S198" s="282"/>
      <c r="T198" s="282"/>
      <c r="U198" s="282"/>
      <c r="V198" s="283"/>
      <c r="W198" s="7"/>
    </row>
    <row r="199" spans="2:23">
      <c r="B199" s="6"/>
      <c r="C199" s="137" t="s">
        <v>238</v>
      </c>
      <c r="D199" s="179"/>
      <c r="E199" s="179"/>
      <c r="F199" s="179"/>
      <c r="G199" s="179"/>
      <c r="H199" s="179"/>
      <c r="I199" s="179"/>
      <c r="J199" s="179"/>
      <c r="K199" s="179"/>
      <c r="L199" s="179"/>
      <c r="M199" s="179"/>
      <c r="N199" s="179"/>
      <c r="O199" s="179"/>
      <c r="P199" s="180"/>
      <c r="Q199" s="281">
        <v>0</v>
      </c>
      <c r="R199" s="282"/>
      <c r="S199" s="282"/>
      <c r="T199" s="282"/>
      <c r="U199" s="282"/>
      <c r="V199" s="283"/>
      <c r="W199" s="7"/>
    </row>
    <row r="200" spans="2:23">
      <c r="B200" s="6"/>
      <c r="C200" s="137" t="s">
        <v>239</v>
      </c>
      <c r="D200" s="179"/>
      <c r="E200" s="179"/>
      <c r="F200" s="179"/>
      <c r="G200" s="179"/>
      <c r="H200" s="179"/>
      <c r="I200" s="179"/>
      <c r="J200" s="179"/>
      <c r="K200" s="179"/>
      <c r="L200" s="179"/>
      <c r="M200" s="179"/>
      <c r="N200" s="179"/>
      <c r="O200" s="179"/>
      <c r="P200" s="180"/>
      <c r="Q200" s="281">
        <v>0</v>
      </c>
      <c r="R200" s="282"/>
      <c r="S200" s="282"/>
      <c r="T200" s="282"/>
      <c r="U200" s="282"/>
      <c r="V200" s="283"/>
      <c r="W200" s="7"/>
    </row>
    <row r="201" spans="2:23">
      <c r="B201" s="6"/>
      <c r="C201" s="137" t="s">
        <v>240</v>
      </c>
      <c r="D201" s="179"/>
      <c r="E201" s="179"/>
      <c r="F201" s="179"/>
      <c r="G201" s="179"/>
      <c r="H201" s="179"/>
      <c r="I201" s="179"/>
      <c r="J201" s="179"/>
      <c r="K201" s="179"/>
      <c r="L201" s="179"/>
      <c r="M201" s="179"/>
      <c r="N201" s="179"/>
      <c r="O201" s="179"/>
      <c r="P201" s="180"/>
      <c r="Q201" s="281">
        <f>Q198+Q199-Q200</f>
        <v>0</v>
      </c>
      <c r="R201" s="282"/>
      <c r="S201" s="282"/>
      <c r="T201" s="282"/>
      <c r="U201" s="282"/>
      <c r="V201" s="283"/>
      <c r="W201" s="7"/>
    </row>
    <row r="202" spans="2:23">
      <c r="B202" s="6"/>
      <c r="C202" s="137" t="s">
        <v>241</v>
      </c>
      <c r="D202" s="179"/>
      <c r="E202" s="179"/>
      <c r="F202" s="179"/>
      <c r="G202" s="179"/>
      <c r="H202" s="179"/>
      <c r="I202" s="179"/>
      <c r="J202" s="179"/>
      <c r="K202" s="179"/>
      <c r="L202" s="179"/>
      <c r="M202" s="179"/>
      <c r="N202" s="179"/>
      <c r="O202" s="179"/>
      <c r="P202" s="180"/>
      <c r="Q202" s="281">
        <v>0</v>
      </c>
      <c r="R202" s="282"/>
      <c r="S202" s="282"/>
      <c r="T202" s="282"/>
      <c r="U202" s="282"/>
      <c r="V202" s="283"/>
      <c r="W202" s="7"/>
    </row>
    <row r="203" spans="2:23">
      <c r="B203" s="6"/>
      <c r="C203" s="137" t="s">
        <v>242</v>
      </c>
      <c r="D203" s="179"/>
      <c r="E203" s="179"/>
      <c r="F203" s="179"/>
      <c r="G203" s="179"/>
      <c r="H203" s="179"/>
      <c r="I203" s="179"/>
      <c r="J203" s="179"/>
      <c r="K203" s="179"/>
      <c r="L203" s="179"/>
      <c r="M203" s="179"/>
      <c r="N203" s="179"/>
      <c r="O203" s="179"/>
      <c r="P203" s="180"/>
      <c r="Q203" s="281">
        <v>0</v>
      </c>
      <c r="R203" s="282"/>
      <c r="S203" s="282"/>
      <c r="T203" s="282"/>
      <c r="U203" s="282"/>
      <c r="V203" s="283"/>
      <c r="W203" s="7"/>
    </row>
    <row r="204" spans="2:23" ht="15" thickBot="1">
      <c r="B204" s="6"/>
      <c r="C204" s="181" t="s">
        <v>243</v>
      </c>
      <c r="D204" s="182"/>
      <c r="E204" s="182"/>
      <c r="F204" s="182"/>
      <c r="G204" s="182"/>
      <c r="H204" s="182"/>
      <c r="I204" s="182"/>
      <c r="J204" s="182"/>
      <c r="K204" s="182"/>
      <c r="L204" s="182"/>
      <c r="M204" s="182"/>
      <c r="N204" s="182"/>
      <c r="O204" s="182"/>
      <c r="P204" s="183"/>
      <c r="Q204" s="284">
        <f>Q201-Q202+Q203</f>
        <v>0</v>
      </c>
      <c r="R204" s="284"/>
      <c r="S204" s="284"/>
      <c r="T204" s="284"/>
      <c r="U204" s="284"/>
      <c r="V204" s="285"/>
      <c r="W204" s="7"/>
    </row>
    <row r="205" spans="2:23" ht="15" thickBot="1">
      <c r="B205" s="6"/>
      <c r="C205" s="184"/>
      <c r="D205" s="185"/>
      <c r="E205" s="185"/>
      <c r="F205" s="185"/>
      <c r="G205" s="185"/>
      <c r="H205" s="185"/>
      <c r="I205" s="185"/>
      <c r="J205" s="185"/>
      <c r="K205" s="185"/>
      <c r="L205" s="185"/>
      <c r="M205" s="185"/>
      <c r="N205" s="185"/>
      <c r="O205" s="185"/>
      <c r="P205" s="186"/>
      <c r="Q205" s="186"/>
      <c r="R205" s="186"/>
      <c r="S205" s="186"/>
      <c r="T205" s="186"/>
      <c r="U205" s="186"/>
      <c r="V205" s="186"/>
      <c r="W205" s="7"/>
    </row>
    <row r="206" spans="2:23">
      <c r="B206" s="6"/>
      <c r="C206" s="270" t="s">
        <v>244</v>
      </c>
      <c r="D206" s="271"/>
      <c r="E206" s="271"/>
      <c r="F206" s="271"/>
      <c r="G206" s="271"/>
      <c r="H206" s="271"/>
      <c r="I206" s="271"/>
      <c r="J206" s="271"/>
      <c r="K206" s="271"/>
      <c r="L206" s="271"/>
      <c r="M206" s="271"/>
      <c r="N206" s="271"/>
      <c r="O206" s="271"/>
      <c r="P206" s="271"/>
      <c r="Q206" s="271"/>
      <c r="R206" s="271"/>
      <c r="S206" s="271"/>
      <c r="T206" s="271"/>
      <c r="U206" s="271"/>
      <c r="V206" s="272"/>
      <c r="W206" s="7"/>
    </row>
    <row r="207" spans="2:23">
      <c r="B207" s="6"/>
      <c r="C207" s="26" t="s">
        <v>245</v>
      </c>
      <c r="D207" s="23"/>
      <c r="E207" s="179"/>
      <c r="F207" s="179"/>
      <c r="G207" s="179"/>
      <c r="H207" s="179"/>
      <c r="I207" s="179"/>
      <c r="J207" s="179"/>
      <c r="K207" s="179"/>
      <c r="L207" s="179"/>
      <c r="M207" s="179"/>
      <c r="N207" s="179"/>
      <c r="O207" s="273">
        <f>10%</f>
        <v>0.1</v>
      </c>
      <c r="P207" s="274"/>
      <c r="Q207" s="274"/>
      <c r="R207" s="274"/>
      <c r="S207" s="274"/>
      <c r="T207" s="274"/>
      <c r="U207" s="274"/>
      <c r="V207" s="275"/>
      <c r="W207" s="7"/>
    </row>
    <row r="208" spans="2:23">
      <c r="B208" s="6"/>
      <c r="C208" s="24"/>
      <c r="D208" s="31"/>
      <c r="E208" s="31"/>
      <c r="F208" s="31"/>
      <c r="G208" s="31"/>
      <c r="H208" s="31"/>
      <c r="I208" s="31"/>
      <c r="J208" s="31"/>
      <c r="K208" s="31"/>
      <c r="L208" s="276" t="s">
        <v>246</v>
      </c>
      <c r="M208" s="277"/>
      <c r="N208" s="158"/>
      <c r="O208" s="278" t="s">
        <v>247</v>
      </c>
      <c r="P208" s="279"/>
      <c r="Q208" s="278" t="s">
        <v>248</v>
      </c>
      <c r="R208" s="250"/>
      <c r="S208" s="279"/>
      <c r="T208" s="250" t="s">
        <v>249</v>
      </c>
      <c r="U208" s="250"/>
      <c r="V208" s="280"/>
      <c r="W208" s="7"/>
    </row>
    <row r="209" spans="2:25">
      <c r="B209" s="6"/>
      <c r="C209" s="13" t="s">
        <v>250</v>
      </c>
      <c r="D209" s="35"/>
      <c r="E209" s="35"/>
      <c r="F209" s="35"/>
      <c r="G209" s="35"/>
      <c r="H209" s="35"/>
      <c r="I209" s="35"/>
      <c r="J209" s="35"/>
      <c r="K209" s="35"/>
      <c r="L209" s="258">
        <f>K14</f>
        <v>45245</v>
      </c>
      <c r="M209" s="259"/>
      <c r="N209" s="189"/>
      <c r="O209" s="260">
        <f>G29</f>
        <v>8.3580000000000002E-2</v>
      </c>
      <c r="P209" s="261"/>
      <c r="Q209" s="243">
        <v>153651392.35271823</v>
      </c>
      <c r="R209" s="243"/>
      <c r="S209" s="262"/>
      <c r="T209" s="242">
        <f>Q209</f>
        <v>153651392.35271823</v>
      </c>
      <c r="U209" s="243"/>
      <c r="V209" s="244"/>
      <c r="W209" s="7"/>
    </row>
    <row r="210" spans="2:25">
      <c r="B210" s="6"/>
      <c r="C210" s="84" t="s">
        <v>251</v>
      </c>
      <c r="D210" s="190"/>
      <c r="E210" s="190"/>
      <c r="F210" s="190"/>
      <c r="G210" s="190"/>
      <c r="H210" s="190"/>
      <c r="I210" s="190"/>
      <c r="J210" s="190"/>
      <c r="K210" s="190"/>
      <c r="L210" s="263"/>
      <c r="M210" s="264"/>
      <c r="N210" s="191"/>
      <c r="O210" s="265"/>
      <c r="P210" s="266"/>
      <c r="Q210" s="267">
        <f>SUM(Q211:S213)</f>
        <v>0</v>
      </c>
      <c r="R210" s="267"/>
      <c r="S210" s="267"/>
      <c r="T210" s="268">
        <f>Q210</f>
        <v>0</v>
      </c>
      <c r="U210" s="268"/>
      <c r="V210" s="269"/>
      <c r="W210" s="7"/>
    </row>
    <row r="211" spans="2:25">
      <c r="B211" s="6"/>
      <c r="C211" s="71" t="s">
        <v>252</v>
      </c>
      <c r="D211" s="35"/>
      <c r="E211" s="35"/>
      <c r="F211" s="35"/>
      <c r="G211" s="35"/>
      <c r="H211" s="35"/>
      <c r="I211" s="35"/>
      <c r="J211" s="35"/>
      <c r="K211" s="35"/>
      <c r="L211" s="251"/>
      <c r="M211" s="252"/>
      <c r="N211" s="192"/>
      <c r="O211" s="253"/>
      <c r="P211" s="254"/>
      <c r="Q211" s="255">
        <f>T62</f>
        <v>0</v>
      </c>
      <c r="R211" s="255"/>
      <c r="S211" s="255"/>
      <c r="T211" s="256">
        <f>Q211</f>
        <v>0</v>
      </c>
      <c r="U211" s="256"/>
      <c r="V211" s="257"/>
      <c r="W211" s="7"/>
    </row>
    <row r="212" spans="2:25">
      <c r="B212" s="6"/>
      <c r="C212" s="71" t="s">
        <v>253</v>
      </c>
      <c r="D212" s="35"/>
      <c r="E212" s="35"/>
      <c r="F212" s="35"/>
      <c r="G212" s="35"/>
      <c r="H212" s="35"/>
      <c r="I212" s="35"/>
      <c r="J212" s="35"/>
      <c r="K212" s="35"/>
      <c r="L212" s="251"/>
      <c r="M212" s="252"/>
      <c r="N212" s="192"/>
      <c r="O212" s="253"/>
      <c r="P212" s="254"/>
      <c r="Q212" s="255"/>
      <c r="R212" s="255"/>
      <c r="S212" s="255"/>
      <c r="T212" s="193"/>
      <c r="U212" s="193"/>
      <c r="V212" s="194"/>
      <c r="W212" s="7"/>
    </row>
    <row r="213" spans="2:25">
      <c r="B213" s="6"/>
      <c r="C213" s="71" t="s">
        <v>254</v>
      </c>
      <c r="D213" s="106"/>
      <c r="E213" s="106"/>
      <c r="F213" s="106"/>
      <c r="G213" s="106"/>
      <c r="H213" s="106"/>
      <c r="I213" s="106"/>
      <c r="J213" s="106"/>
      <c r="K213" s="106"/>
      <c r="L213" s="245"/>
      <c r="M213" s="246"/>
      <c r="N213" s="195"/>
      <c r="O213" s="247"/>
      <c r="P213" s="248"/>
      <c r="Q213" s="249"/>
      <c r="R213" s="249"/>
      <c r="S213" s="249"/>
      <c r="T213" s="193"/>
      <c r="U213" s="193"/>
      <c r="V213" s="194"/>
      <c r="W213" s="7"/>
    </row>
    <row r="214" spans="2:25">
      <c r="B214" s="6"/>
      <c r="C214" s="84" t="s">
        <v>255</v>
      </c>
      <c r="D214" s="190"/>
      <c r="E214" s="250"/>
      <c r="F214" s="250"/>
      <c r="G214" s="196"/>
      <c r="H214" s="196"/>
      <c r="I214" s="196"/>
      <c r="J214" s="196"/>
      <c r="K214" s="196"/>
      <c r="L214" s="196"/>
      <c r="M214" s="196"/>
      <c r="N214" s="196"/>
      <c r="O214" s="196"/>
      <c r="P214" s="197"/>
      <c r="Q214" s="242">
        <f>T209+T210</f>
        <v>153651392.35271823</v>
      </c>
      <c r="R214" s="243"/>
      <c r="S214" s="243"/>
      <c r="T214" s="243"/>
      <c r="U214" s="243"/>
      <c r="V214" s="244"/>
      <c r="W214" s="7"/>
    </row>
    <row r="215" spans="2:25">
      <c r="B215" s="6"/>
      <c r="C215" s="112" t="s">
        <v>256</v>
      </c>
      <c r="D215" s="125"/>
      <c r="E215" s="125"/>
      <c r="F215" s="125"/>
      <c r="G215" s="125"/>
      <c r="H215" s="125"/>
      <c r="I215" s="125"/>
      <c r="J215" s="125"/>
      <c r="K215" s="125"/>
      <c r="L215" s="125"/>
      <c r="M215" s="125"/>
      <c r="N215" s="125"/>
      <c r="O215" s="125"/>
      <c r="P215" s="126"/>
      <c r="Q215" s="242">
        <f>(Q209*(O209+$O$207)*$K$16/365)+(Q211*(O211+$O$207)*(K15-L211)/365)</f>
        <v>7109790.9039624799</v>
      </c>
      <c r="R215" s="243"/>
      <c r="S215" s="243"/>
      <c r="T215" s="243"/>
      <c r="U215" s="243"/>
      <c r="V215" s="244"/>
      <c r="W215" s="7"/>
      <c r="X215" s="198"/>
      <c r="Y215" s="86"/>
    </row>
    <row r="216" spans="2:25">
      <c r="B216" s="6"/>
      <c r="C216" s="112" t="s">
        <v>257</v>
      </c>
      <c r="D216" s="125"/>
      <c r="E216" s="125"/>
      <c r="F216" s="125"/>
      <c r="G216" s="125"/>
      <c r="H216" s="125"/>
      <c r="I216" s="125"/>
      <c r="J216" s="125"/>
      <c r="K216" s="125"/>
      <c r="L216" s="125"/>
      <c r="M216" s="125"/>
      <c r="N216" s="125"/>
      <c r="O216" s="125"/>
      <c r="P216" s="126"/>
      <c r="Q216" s="242">
        <v>0</v>
      </c>
      <c r="R216" s="243"/>
      <c r="S216" s="243"/>
      <c r="T216" s="243"/>
      <c r="U216" s="243"/>
      <c r="V216" s="244"/>
      <c r="W216" s="7"/>
    </row>
    <row r="217" spans="2:25">
      <c r="B217" s="6"/>
      <c r="C217" s="137" t="s">
        <v>258</v>
      </c>
      <c r="D217" s="179"/>
      <c r="E217" s="179"/>
      <c r="F217" s="179"/>
      <c r="G217" s="179"/>
      <c r="H217" s="179"/>
      <c r="I217" s="179"/>
      <c r="J217" s="179"/>
      <c r="K217" s="179"/>
      <c r="L217" s="179"/>
      <c r="M217" s="179"/>
      <c r="N217" s="179"/>
      <c r="O217" s="179"/>
      <c r="P217" s="180"/>
      <c r="Q217" s="242">
        <f>T182</f>
        <v>7109790.9039624799</v>
      </c>
      <c r="R217" s="243"/>
      <c r="S217" s="243"/>
      <c r="T217" s="243"/>
      <c r="U217" s="243"/>
      <c r="V217" s="244"/>
      <c r="W217" s="7"/>
    </row>
    <row r="218" spans="2:25">
      <c r="B218" s="6"/>
      <c r="C218" s="137" t="s">
        <v>259</v>
      </c>
      <c r="D218" s="179"/>
      <c r="E218" s="179"/>
      <c r="F218" s="179"/>
      <c r="G218" s="179"/>
      <c r="H218" s="179"/>
      <c r="I218" s="179"/>
      <c r="J218" s="179"/>
      <c r="K218" s="179"/>
      <c r="L218" s="179"/>
      <c r="M218" s="179"/>
      <c r="N218" s="179"/>
      <c r="O218" s="179"/>
      <c r="P218" s="180"/>
      <c r="Q218" s="242">
        <f>Q215-Q217</f>
        <v>0</v>
      </c>
      <c r="R218" s="243"/>
      <c r="S218" s="243"/>
      <c r="T218" s="243"/>
      <c r="U218" s="243"/>
      <c r="V218" s="244"/>
      <c r="W218" s="7"/>
    </row>
    <row r="219" spans="2:25">
      <c r="B219" s="6"/>
      <c r="C219" s="137" t="s">
        <v>260</v>
      </c>
      <c r="D219" s="179"/>
      <c r="E219" s="179"/>
      <c r="F219" s="179"/>
      <c r="G219" s="179"/>
      <c r="H219" s="179"/>
      <c r="I219" s="179"/>
      <c r="J219" s="179"/>
      <c r="K219" s="179"/>
      <c r="L219" s="179"/>
      <c r="M219" s="179"/>
      <c r="N219" s="179"/>
      <c r="O219" s="179"/>
      <c r="P219" s="180"/>
      <c r="Q219" s="242">
        <f>L183</f>
        <v>0</v>
      </c>
      <c r="R219" s="243"/>
      <c r="S219" s="243"/>
      <c r="T219" s="243"/>
      <c r="U219" s="243"/>
      <c r="V219" s="244"/>
      <c r="W219" s="7"/>
    </row>
    <row r="220" spans="2:25">
      <c r="B220" s="6"/>
      <c r="C220" s="137" t="s">
        <v>261</v>
      </c>
      <c r="D220" s="179"/>
      <c r="E220" s="179"/>
      <c r="F220" s="179"/>
      <c r="G220" s="179"/>
      <c r="H220" s="179"/>
      <c r="I220" s="179"/>
      <c r="J220" s="179"/>
      <c r="K220" s="179"/>
      <c r="L220" s="179"/>
      <c r="M220" s="179"/>
      <c r="N220" s="179"/>
      <c r="O220" s="179"/>
      <c r="P220" s="180"/>
      <c r="Q220" s="242">
        <v>0</v>
      </c>
      <c r="R220" s="243"/>
      <c r="S220" s="243"/>
      <c r="T220" s="243"/>
      <c r="U220" s="243"/>
      <c r="V220" s="244"/>
      <c r="W220" s="7"/>
    </row>
    <row r="221" spans="2:25" ht="15" thickBot="1">
      <c r="B221" s="6"/>
      <c r="C221" s="139" t="s">
        <v>262</v>
      </c>
      <c r="D221" s="199"/>
      <c r="E221" s="199"/>
      <c r="F221" s="199"/>
      <c r="G221" s="199"/>
      <c r="H221" s="199"/>
      <c r="I221" s="199"/>
      <c r="J221" s="199"/>
      <c r="K221" s="199"/>
      <c r="L221" s="199"/>
      <c r="M221" s="199"/>
      <c r="N221" s="199"/>
      <c r="O221" s="199"/>
      <c r="P221" s="200"/>
      <c r="Q221" s="242">
        <f>Q214+Q218-Q219</f>
        <v>153651392.35271823</v>
      </c>
      <c r="R221" s="243"/>
      <c r="S221" s="243"/>
      <c r="T221" s="243"/>
      <c r="U221" s="243"/>
      <c r="V221" s="244"/>
      <c r="W221" s="7"/>
    </row>
    <row r="222" spans="2:25" ht="15" thickBot="1">
      <c r="B222" s="201"/>
      <c r="C222" s="202"/>
      <c r="D222" s="202"/>
      <c r="E222" s="202"/>
      <c r="F222" s="202"/>
      <c r="G222" s="202"/>
      <c r="H222" s="202"/>
      <c r="I222" s="202"/>
      <c r="J222" s="202"/>
      <c r="K222" s="202"/>
      <c r="L222" s="202"/>
      <c r="M222" s="202"/>
      <c r="N222" s="202"/>
      <c r="O222" s="202"/>
      <c r="P222" s="202"/>
      <c r="Q222" s="202"/>
      <c r="R222" s="202"/>
      <c r="S222" s="202"/>
      <c r="T222" s="202"/>
      <c r="U222" s="202"/>
      <c r="V222" s="202"/>
      <c r="W222" s="123"/>
    </row>
    <row r="229" spans="17:21">
      <c r="Q229" s="203"/>
      <c r="R229" s="203"/>
    </row>
    <row r="230" spans="17:21">
      <c r="S230" s="27"/>
      <c r="T230" s="27"/>
      <c r="U230" s="27"/>
    </row>
    <row r="231" spans="17:21">
      <c r="S231" s="204"/>
      <c r="T231" s="204"/>
      <c r="U231" s="204"/>
    </row>
    <row r="232" spans="17:21">
      <c r="S232" s="2"/>
      <c r="T232" s="2"/>
      <c r="U232" s="2"/>
    </row>
    <row r="233" spans="17:21">
      <c r="Q233" s="203"/>
      <c r="R233" s="203"/>
    </row>
    <row r="234" spans="17:21">
      <c r="S234" s="2"/>
    </row>
    <row r="235" spans="17:21">
      <c r="S235" s="27"/>
      <c r="T235" s="27"/>
      <c r="U235" s="27"/>
    </row>
    <row r="236" spans="17:21">
      <c r="S236" s="27"/>
      <c r="T236" s="27"/>
      <c r="U236" s="27"/>
    </row>
    <row r="237" spans="17:21">
      <c r="S237" s="8"/>
      <c r="T237" s="8"/>
      <c r="U237" s="8"/>
    </row>
    <row r="239" spans="17:21">
      <c r="S239" s="86"/>
      <c r="T239" s="86"/>
      <c r="U239" s="86"/>
    </row>
    <row r="240" spans="17:21">
      <c r="S240" s="2"/>
    </row>
    <row r="241" spans="19:19">
      <c r="S241" s="8"/>
    </row>
  </sheetData>
  <mergeCells count="263">
    <mergeCell ref="C3:V4"/>
    <mergeCell ref="C6:V6"/>
    <mergeCell ref="K8:V8"/>
    <mergeCell ref="K9:V9"/>
    <mergeCell ref="C10:E11"/>
    <mergeCell ref="K10:V10"/>
    <mergeCell ref="K11:V11"/>
    <mergeCell ref="K17:V17"/>
    <mergeCell ref="K18:V18"/>
    <mergeCell ref="K19:V19"/>
    <mergeCell ref="K20:V20"/>
    <mergeCell ref="C22:V22"/>
    <mergeCell ref="C51:V51"/>
    <mergeCell ref="K12:V12"/>
    <mergeCell ref="K13:V13"/>
    <mergeCell ref="C14:E15"/>
    <mergeCell ref="K14:V14"/>
    <mergeCell ref="K15:V15"/>
    <mergeCell ref="K16:V16"/>
    <mergeCell ref="S60:V60"/>
    <mergeCell ref="S63:V63"/>
    <mergeCell ref="S66:V66"/>
    <mergeCell ref="S81:V81"/>
    <mergeCell ref="C82:V82"/>
    <mergeCell ref="S83:V83"/>
    <mergeCell ref="C52:V52"/>
    <mergeCell ref="S53:V53"/>
    <mergeCell ref="S54:V54"/>
    <mergeCell ref="S55:V55"/>
    <mergeCell ref="S56:V56"/>
    <mergeCell ref="C59:V59"/>
    <mergeCell ref="S93:T93"/>
    <mergeCell ref="C94:V94"/>
    <mergeCell ref="S95:V95"/>
    <mergeCell ref="S96:T96"/>
    <mergeCell ref="S97:T97"/>
    <mergeCell ref="S98:T98"/>
    <mergeCell ref="S84:T84"/>
    <mergeCell ref="S85:T85"/>
    <mergeCell ref="S86:T86"/>
    <mergeCell ref="S90:T90"/>
    <mergeCell ref="S91:T91"/>
    <mergeCell ref="S92:T92"/>
    <mergeCell ref="S106:T106"/>
    <mergeCell ref="S107:T107"/>
    <mergeCell ref="S108:T108"/>
    <mergeCell ref="C110:V110"/>
    <mergeCell ref="S111:V111"/>
    <mergeCell ref="S112:V112"/>
    <mergeCell ref="S99:T99"/>
    <mergeCell ref="C101:V101"/>
    <mergeCell ref="S102:V102"/>
    <mergeCell ref="S103:T103"/>
    <mergeCell ref="S104:T104"/>
    <mergeCell ref="S105:T105"/>
    <mergeCell ref="L117:M117"/>
    <mergeCell ref="O117:P117"/>
    <mergeCell ref="Q117:S117"/>
    <mergeCell ref="T117:V117"/>
    <mergeCell ref="L118:M118"/>
    <mergeCell ref="O118:P118"/>
    <mergeCell ref="Q118:S118"/>
    <mergeCell ref="T118:V118"/>
    <mergeCell ref="S113:V113"/>
    <mergeCell ref="C115:V115"/>
    <mergeCell ref="L116:M116"/>
    <mergeCell ref="O116:P116"/>
    <mergeCell ref="Q116:S116"/>
    <mergeCell ref="T116:V116"/>
    <mergeCell ref="S126:T126"/>
    <mergeCell ref="S127:T127"/>
    <mergeCell ref="S128:T128"/>
    <mergeCell ref="S129:T129"/>
    <mergeCell ref="S130:T130"/>
    <mergeCell ref="S131:T131"/>
    <mergeCell ref="C120:V120"/>
    <mergeCell ref="S121:T121"/>
    <mergeCell ref="S122:T122"/>
    <mergeCell ref="S123:T123"/>
    <mergeCell ref="S124:V124"/>
    <mergeCell ref="S125:T125"/>
    <mergeCell ref="L139:O139"/>
    <mergeCell ref="P139:S139"/>
    <mergeCell ref="T139:V139"/>
    <mergeCell ref="L140:O140"/>
    <mergeCell ref="P140:S140"/>
    <mergeCell ref="T140:V140"/>
    <mergeCell ref="S132:T132"/>
    <mergeCell ref="S133:V133"/>
    <mergeCell ref="S134:T134"/>
    <mergeCell ref="S135:V135"/>
    <mergeCell ref="C137:V137"/>
    <mergeCell ref="C138:K138"/>
    <mergeCell ref="L138:O138"/>
    <mergeCell ref="P138:S138"/>
    <mergeCell ref="T138:V138"/>
    <mergeCell ref="T143:V143"/>
    <mergeCell ref="L144:M144"/>
    <mergeCell ref="P144:Q144"/>
    <mergeCell ref="L145:M145"/>
    <mergeCell ref="P145:Q145"/>
    <mergeCell ref="L146:O146"/>
    <mergeCell ref="P146:S146"/>
    <mergeCell ref="T146:V146"/>
    <mergeCell ref="L141:M141"/>
    <mergeCell ref="P141:Q141"/>
    <mergeCell ref="L142:M142"/>
    <mergeCell ref="P142:Q142"/>
    <mergeCell ref="L143:O143"/>
    <mergeCell ref="P143:S143"/>
    <mergeCell ref="L150:O150"/>
    <mergeCell ref="P150:S150"/>
    <mergeCell ref="T150:V150"/>
    <mergeCell ref="L151:O151"/>
    <mergeCell ref="P151:S151"/>
    <mergeCell ref="T151:V151"/>
    <mergeCell ref="L147:M147"/>
    <mergeCell ref="P147:Q147"/>
    <mergeCell ref="L148:M148"/>
    <mergeCell ref="P148:Q148"/>
    <mergeCell ref="L149:M149"/>
    <mergeCell ref="P149:Q149"/>
    <mergeCell ref="L155:M155"/>
    <mergeCell ref="P155:Q155"/>
    <mergeCell ref="L156:O156"/>
    <mergeCell ref="P156:S156"/>
    <mergeCell ref="T156:V156"/>
    <mergeCell ref="L157:O157"/>
    <mergeCell ref="P157:S157"/>
    <mergeCell ref="T157:V157"/>
    <mergeCell ref="L152:O152"/>
    <mergeCell ref="P152:S152"/>
    <mergeCell ref="T152:V152"/>
    <mergeCell ref="L153:M153"/>
    <mergeCell ref="P153:Q153"/>
    <mergeCell ref="L154:M154"/>
    <mergeCell ref="P154:Q154"/>
    <mergeCell ref="L160:O160"/>
    <mergeCell ref="P160:S160"/>
    <mergeCell ref="T160:V160"/>
    <mergeCell ref="L161:O161"/>
    <mergeCell ref="P161:S161"/>
    <mergeCell ref="T161:V161"/>
    <mergeCell ref="L158:O158"/>
    <mergeCell ref="P158:S158"/>
    <mergeCell ref="T158:V158"/>
    <mergeCell ref="L159:O159"/>
    <mergeCell ref="P159:S159"/>
    <mergeCell ref="T159:V159"/>
    <mergeCell ref="L165:M165"/>
    <mergeCell ref="P165:Q165"/>
    <mergeCell ref="L166:M166"/>
    <mergeCell ref="P166:Q166"/>
    <mergeCell ref="L167:M167"/>
    <mergeCell ref="P167:Q167"/>
    <mergeCell ref="L162:O162"/>
    <mergeCell ref="P162:S162"/>
    <mergeCell ref="T162:V162"/>
    <mergeCell ref="L163:M163"/>
    <mergeCell ref="P163:Q163"/>
    <mergeCell ref="L164:M164"/>
    <mergeCell ref="P164:Q164"/>
    <mergeCell ref="L171:O171"/>
    <mergeCell ref="P171:S171"/>
    <mergeCell ref="T171:V171"/>
    <mergeCell ref="L172:M172"/>
    <mergeCell ref="P172:Q172"/>
    <mergeCell ref="L173:M173"/>
    <mergeCell ref="P173:Q173"/>
    <mergeCell ref="L168:M168"/>
    <mergeCell ref="P168:Q168"/>
    <mergeCell ref="L169:O169"/>
    <mergeCell ref="P169:S169"/>
    <mergeCell ref="T169:V169"/>
    <mergeCell ref="L170:O170"/>
    <mergeCell ref="P170:S170"/>
    <mergeCell ref="T170:V170"/>
    <mergeCell ref="L176:O176"/>
    <mergeCell ref="P176:S176"/>
    <mergeCell ref="T176:V176"/>
    <mergeCell ref="L177:M177"/>
    <mergeCell ref="P177:Q177"/>
    <mergeCell ref="L178:O178"/>
    <mergeCell ref="P178:S178"/>
    <mergeCell ref="T178:V178"/>
    <mergeCell ref="L174:O174"/>
    <mergeCell ref="P174:S174"/>
    <mergeCell ref="T174:V174"/>
    <mergeCell ref="L175:O175"/>
    <mergeCell ref="P175:S175"/>
    <mergeCell ref="T175:V175"/>
    <mergeCell ref="L181:O181"/>
    <mergeCell ref="P181:S181"/>
    <mergeCell ref="T181:V181"/>
    <mergeCell ref="L182:M182"/>
    <mergeCell ref="P182:Q182"/>
    <mergeCell ref="L183:M183"/>
    <mergeCell ref="P183:Q183"/>
    <mergeCell ref="L179:O179"/>
    <mergeCell ref="P179:S179"/>
    <mergeCell ref="T179:V179"/>
    <mergeCell ref="L180:O180"/>
    <mergeCell ref="P180:S180"/>
    <mergeCell ref="T180:V180"/>
    <mergeCell ref="L187:O187"/>
    <mergeCell ref="P187:S187"/>
    <mergeCell ref="T187:V187"/>
    <mergeCell ref="C189:V189"/>
    <mergeCell ref="Q190:V190"/>
    <mergeCell ref="Q191:V191"/>
    <mergeCell ref="L184:M184"/>
    <mergeCell ref="P184:Q184"/>
    <mergeCell ref="L185:O185"/>
    <mergeCell ref="P185:S185"/>
    <mergeCell ref="T185:V185"/>
    <mergeCell ref="L186:O186"/>
    <mergeCell ref="P186:S186"/>
    <mergeCell ref="T186:V186"/>
    <mergeCell ref="Q199:V199"/>
    <mergeCell ref="Q200:V200"/>
    <mergeCell ref="Q201:V201"/>
    <mergeCell ref="Q202:V202"/>
    <mergeCell ref="Q203:V203"/>
    <mergeCell ref="Q204:V204"/>
    <mergeCell ref="Q192:V192"/>
    <mergeCell ref="Q193:V193"/>
    <mergeCell ref="Q194:V194"/>
    <mergeCell ref="Q195:V195"/>
    <mergeCell ref="C197:V197"/>
    <mergeCell ref="Q198:V198"/>
    <mergeCell ref="L209:M209"/>
    <mergeCell ref="O209:P209"/>
    <mergeCell ref="Q209:S209"/>
    <mergeCell ref="T209:V209"/>
    <mergeCell ref="L210:M210"/>
    <mergeCell ref="O210:P210"/>
    <mergeCell ref="Q210:S210"/>
    <mergeCell ref="T210:V210"/>
    <mergeCell ref="C206:V206"/>
    <mergeCell ref="O207:V207"/>
    <mergeCell ref="L208:M208"/>
    <mergeCell ref="O208:P208"/>
    <mergeCell ref="Q208:S208"/>
    <mergeCell ref="T208:V208"/>
    <mergeCell ref="E214:F214"/>
    <mergeCell ref="Q214:V214"/>
    <mergeCell ref="Q215:V215"/>
    <mergeCell ref="L211:M211"/>
    <mergeCell ref="O211:P211"/>
    <mergeCell ref="Q211:S211"/>
    <mergeCell ref="T211:V211"/>
    <mergeCell ref="L212:M212"/>
    <mergeCell ref="O212:P212"/>
    <mergeCell ref="Q212:S212"/>
    <mergeCell ref="Q216:V216"/>
    <mergeCell ref="Q217:V217"/>
    <mergeCell ref="Q218:V218"/>
    <mergeCell ref="Q219:V219"/>
    <mergeCell ref="Q220:V220"/>
    <mergeCell ref="Q221:V221"/>
    <mergeCell ref="L213:M213"/>
    <mergeCell ref="O213:P213"/>
    <mergeCell ref="Q213:S21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ADD88-03B3-4F58-8C60-72D7D077D79E}">
  <dimension ref="B1:X184"/>
  <sheetViews>
    <sheetView showGridLines="0" tabSelected="1" topLeftCell="A94" zoomScaleNormal="100" workbookViewId="0">
      <selection activeCell="Q106" sqref="Q106"/>
    </sheetView>
  </sheetViews>
  <sheetFormatPr defaultColWidth="9.109375" defaultRowHeight="14.4"/>
  <cols>
    <col min="1" max="1" width="9.109375" style="1"/>
    <col min="2" max="2" width="3.44140625" style="1" customWidth="1"/>
    <col min="3" max="3" width="37.6640625" style="1" customWidth="1"/>
    <col min="4" max="13" width="9.109375" style="1"/>
    <col min="14" max="14" width="10.44140625" style="1" customWidth="1"/>
    <col min="15" max="15" width="4" style="1" customWidth="1"/>
    <col min="16" max="16" width="12.33203125" style="1" bestFit="1" customWidth="1"/>
    <col min="17" max="17" width="16" style="1" customWidth="1"/>
    <col min="18" max="18" width="15.33203125" style="1" bestFit="1" customWidth="1"/>
    <col min="19" max="20" width="14.33203125" style="1" bestFit="1" customWidth="1"/>
    <col min="21" max="21" width="13.6640625" style="1" bestFit="1" customWidth="1"/>
    <col min="22" max="22" width="17.33203125" style="1" customWidth="1"/>
    <col min="23" max="23" width="10.5546875" style="1" bestFit="1" customWidth="1"/>
    <col min="24" max="24" width="11.5546875" style="1" bestFit="1" customWidth="1"/>
    <col min="25" max="16384" width="9.109375" style="1"/>
  </cols>
  <sheetData>
    <row r="1" spans="2:17" ht="15" thickBot="1"/>
    <row r="2" spans="2:17" ht="15" thickBot="1">
      <c r="B2" s="3"/>
      <c r="C2" s="4"/>
      <c r="D2" s="4"/>
      <c r="E2" s="4"/>
      <c r="F2" s="4"/>
      <c r="G2" s="4"/>
      <c r="H2" s="4"/>
      <c r="I2" s="4"/>
      <c r="J2" s="4"/>
      <c r="K2" s="4"/>
      <c r="L2" s="4"/>
      <c r="M2" s="4"/>
      <c r="N2" s="4"/>
      <c r="O2" s="5"/>
    </row>
    <row r="3" spans="2:17" ht="20.25" customHeight="1">
      <c r="B3" s="6"/>
      <c r="C3" s="429" t="s">
        <v>0</v>
      </c>
      <c r="D3" s="430"/>
      <c r="E3" s="430"/>
      <c r="F3" s="430"/>
      <c r="G3" s="430"/>
      <c r="H3" s="430"/>
      <c r="I3" s="430"/>
      <c r="J3" s="430"/>
      <c r="K3" s="430"/>
      <c r="L3" s="430"/>
      <c r="M3" s="430"/>
      <c r="N3" s="431"/>
      <c r="O3" s="7"/>
    </row>
    <row r="4" spans="2:17" ht="20.25" customHeight="1" thickBot="1">
      <c r="B4" s="6"/>
      <c r="C4" s="432"/>
      <c r="D4" s="433"/>
      <c r="E4" s="433"/>
      <c r="F4" s="433"/>
      <c r="G4" s="433"/>
      <c r="H4" s="433"/>
      <c r="I4" s="433"/>
      <c r="J4" s="433"/>
      <c r="K4" s="433"/>
      <c r="L4" s="433"/>
      <c r="M4" s="433"/>
      <c r="N4" s="434"/>
      <c r="O4" s="7"/>
    </row>
    <row r="5" spans="2:17" ht="15" thickBot="1">
      <c r="B5" s="6"/>
      <c r="C5" s="9"/>
      <c r="D5" s="9"/>
      <c r="E5" s="9"/>
      <c r="F5" s="9"/>
      <c r="G5" s="9"/>
      <c r="H5" s="9"/>
      <c r="I5" s="9"/>
      <c r="J5" s="9"/>
      <c r="K5" s="9"/>
      <c r="L5" s="9"/>
      <c r="M5" s="9"/>
      <c r="N5" s="9"/>
      <c r="O5" s="7"/>
    </row>
    <row r="6" spans="2:17" ht="15" thickBot="1">
      <c r="B6" s="6"/>
      <c r="C6" s="435" t="s">
        <v>263</v>
      </c>
      <c r="D6" s="436"/>
      <c r="E6" s="436"/>
      <c r="F6" s="436"/>
      <c r="G6" s="436"/>
      <c r="H6" s="436"/>
      <c r="I6" s="436"/>
      <c r="J6" s="436"/>
      <c r="K6" s="436"/>
      <c r="L6" s="436"/>
      <c r="M6" s="436"/>
      <c r="N6" s="437"/>
      <c r="O6" s="7"/>
    </row>
    <row r="7" spans="2:17" ht="15" thickBot="1">
      <c r="B7" s="6"/>
      <c r="C7" s="9"/>
      <c r="D7" s="9"/>
      <c r="E7" s="9"/>
      <c r="F7" s="9"/>
      <c r="G7" s="9"/>
      <c r="H7" s="9"/>
      <c r="I7" s="9"/>
      <c r="J7" s="9"/>
      <c r="K7" s="9"/>
      <c r="L7" s="9"/>
      <c r="M7" s="9"/>
      <c r="N7" s="9"/>
      <c r="O7" s="7"/>
    </row>
    <row r="8" spans="2:17">
      <c r="B8" s="6"/>
      <c r="C8" s="10" t="s">
        <v>264</v>
      </c>
      <c r="D8" s="11"/>
      <c r="E8" s="11"/>
      <c r="F8" s="11"/>
      <c r="G8" s="11"/>
      <c r="H8" s="11"/>
      <c r="I8" s="12"/>
      <c r="J8" s="547">
        <f>J9+10+2</f>
        <v>45334</v>
      </c>
      <c r="K8" s="547"/>
      <c r="L8" s="547"/>
      <c r="M8" s="547"/>
      <c r="N8" s="548"/>
      <c r="O8" s="7"/>
    </row>
    <row r="9" spans="2:17">
      <c r="B9" s="6"/>
      <c r="C9" s="13" t="s">
        <v>265</v>
      </c>
      <c r="D9" s="14"/>
      <c r="E9" s="14"/>
      <c r="F9" s="14"/>
      <c r="G9" s="14"/>
      <c r="H9" s="14"/>
      <c r="I9" s="136"/>
      <c r="J9" s="420">
        <v>45322</v>
      </c>
      <c r="K9" s="420"/>
      <c r="L9" s="420"/>
      <c r="M9" s="420"/>
      <c r="N9" s="422"/>
      <c r="O9" s="7"/>
    </row>
    <row r="10" spans="2:17">
      <c r="B10" s="6"/>
      <c r="C10" s="423" t="s">
        <v>4</v>
      </c>
      <c r="D10" s="424"/>
      <c r="E10" s="442"/>
      <c r="F10" s="17" t="s">
        <v>266</v>
      </c>
      <c r="G10" s="14"/>
      <c r="H10" s="14"/>
      <c r="I10" s="136"/>
      <c r="J10" s="420">
        <v>45230</v>
      </c>
      <c r="K10" s="420"/>
      <c r="L10" s="420"/>
      <c r="M10" s="420"/>
      <c r="N10" s="422"/>
      <c r="O10" s="7"/>
      <c r="Q10" s="205"/>
    </row>
    <row r="11" spans="2:17">
      <c r="B11" s="6"/>
      <c r="C11" s="426"/>
      <c r="D11" s="427"/>
      <c r="E11" s="425"/>
      <c r="F11" s="20" t="s">
        <v>267</v>
      </c>
      <c r="G11" s="14"/>
      <c r="H11" s="14"/>
      <c r="I11" s="136"/>
      <c r="J11" s="420">
        <f>J9</f>
        <v>45322</v>
      </c>
      <c r="K11" s="420"/>
      <c r="L11" s="420"/>
      <c r="M11" s="420"/>
      <c r="N11" s="422"/>
      <c r="O11" s="7"/>
    </row>
    <row r="12" spans="2:17">
      <c r="B12" s="6"/>
      <c r="C12" s="206" t="s">
        <v>268</v>
      </c>
      <c r="D12" s="21"/>
      <c r="E12" s="16"/>
      <c r="F12" s="23"/>
      <c r="G12" s="14"/>
      <c r="H12" s="14"/>
      <c r="I12" s="136"/>
      <c r="J12" s="416">
        <f>J11-J10</f>
        <v>92</v>
      </c>
      <c r="K12" s="416"/>
      <c r="L12" s="416"/>
      <c r="M12" s="416"/>
      <c r="N12" s="418"/>
      <c r="O12" s="7"/>
    </row>
    <row r="13" spans="2:17">
      <c r="B13" s="6"/>
      <c r="C13" s="423" t="s">
        <v>269</v>
      </c>
      <c r="D13" s="424"/>
      <c r="E13" s="442"/>
      <c r="F13" s="17" t="s">
        <v>270</v>
      </c>
      <c r="G13" s="23"/>
      <c r="H13" s="23"/>
      <c r="I13" s="138"/>
      <c r="J13" s="543" t="s">
        <v>69</v>
      </c>
      <c r="K13" s="543"/>
      <c r="L13" s="543"/>
      <c r="M13" s="543"/>
      <c r="N13" s="544"/>
      <c r="O13" s="7"/>
    </row>
    <row r="14" spans="2:17">
      <c r="B14" s="6"/>
      <c r="C14" s="426"/>
      <c r="D14" s="427"/>
      <c r="E14" s="428"/>
      <c r="F14" s="17" t="s">
        <v>271</v>
      </c>
      <c r="G14" s="23"/>
      <c r="H14" s="23"/>
      <c r="I14" s="138"/>
      <c r="J14" s="543" t="s">
        <v>69</v>
      </c>
      <c r="K14" s="543"/>
      <c r="L14" s="543"/>
      <c r="M14" s="543"/>
      <c r="N14" s="544"/>
      <c r="O14" s="7"/>
    </row>
    <row r="15" spans="2:17">
      <c r="B15" s="6"/>
      <c r="C15" s="18" t="s">
        <v>272</v>
      </c>
      <c r="D15" s="19"/>
      <c r="E15" s="19"/>
      <c r="F15" s="23"/>
      <c r="G15" s="23"/>
      <c r="H15" s="23"/>
      <c r="I15" s="138"/>
      <c r="J15" s="420">
        <v>52366</v>
      </c>
      <c r="K15" s="420"/>
      <c r="L15" s="420"/>
      <c r="M15" s="420"/>
      <c r="N15" s="422"/>
      <c r="O15" s="7"/>
    </row>
    <row r="16" spans="2:17">
      <c r="B16" s="6"/>
      <c r="C16" s="18" t="s">
        <v>273</v>
      </c>
      <c r="D16" s="19"/>
      <c r="E16" s="19"/>
      <c r="F16" s="23"/>
      <c r="G16" s="23"/>
      <c r="H16" s="23"/>
      <c r="I16" s="138"/>
      <c r="J16" s="545">
        <v>8.3580000000000002E-2</v>
      </c>
      <c r="K16" s="545"/>
      <c r="L16" s="545"/>
      <c r="M16" s="545"/>
      <c r="N16" s="546"/>
      <c r="O16" s="7"/>
    </row>
    <row r="17" spans="2:24">
      <c r="B17" s="6"/>
      <c r="C17" s="423" t="s">
        <v>274</v>
      </c>
      <c r="D17" s="424"/>
      <c r="E17" s="442"/>
      <c r="F17" s="23" t="s">
        <v>275</v>
      </c>
      <c r="G17" s="23"/>
      <c r="H17" s="23"/>
      <c r="I17" s="138"/>
      <c r="J17" s="421">
        <v>45245</v>
      </c>
      <c r="K17" s="539"/>
      <c r="L17" s="539"/>
      <c r="M17" s="539"/>
      <c r="N17" s="540"/>
      <c r="O17" s="7"/>
    </row>
    <row r="18" spans="2:24">
      <c r="B18" s="6"/>
      <c r="C18" s="426"/>
      <c r="D18" s="427"/>
      <c r="E18" s="428"/>
      <c r="F18" s="23" t="s">
        <v>276</v>
      </c>
      <c r="G18" s="23"/>
      <c r="H18" s="23"/>
      <c r="I18" s="138"/>
      <c r="J18" s="421">
        <v>45337</v>
      </c>
      <c r="K18" s="539"/>
      <c r="L18" s="539"/>
      <c r="M18" s="539"/>
      <c r="N18" s="540"/>
      <c r="O18" s="7"/>
    </row>
    <row r="19" spans="2:24">
      <c r="B19" s="6"/>
      <c r="C19" s="24" t="s">
        <v>277</v>
      </c>
      <c r="D19" s="23"/>
      <c r="E19" s="23"/>
      <c r="F19" s="23"/>
      <c r="G19" s="23"/>
      <c r="H19" s="23"/>
      <c r="I19" s="138"/>
      <c r="J19" s="541" t="s">
        <v>17</v>
      </c>
      <c r="K19" s="541"/>
      <c r="L19" s="541"/>
      <c r="M19" s="541"/>
      <c r="N19" s="542"/>
      <c r="O19" s="7"/>
    </row>
    <row r="20" spans="2:24" ht="15" thickBot="1">
      <c r="B20" s="6"/>
      <c r="C20" s="78" t="s">
        <v>278</v>
      </c>
      <c r="D20" s="207"/>
      <c r="E20" s="207"/>
      <c r="F20" s="207"/>
      <c r="G20" s="207"/>
      <c r="H20" s="207"/>
      <c r="I20" s="207"/>
      <c r="J20" s="409" t="s">
        <v>279</v>
      </c>
      <c r="K20" s="409"/>
      <c r="L20" s="409"/>
      <c r="M20" s="409"/>
      <c r="N20" s="411"/>
      <c r="O20" s="7"/>
    </row>
    <row r="21" spans="2:24" ht="15" thickBot="1">
      <c r="B21" s="6"/>
      <c r="C21" s="6"/>
      <c r="D21" s="9"/>
      <c r="E21" s="9"/>
      <c r="F21" s="9"/>
      <c r="G21" s="9"/>
      <c r="H21" s="9"/>
      <c r="I21" s="9"/>
      <c r="J21" s="9"/>
      <c r="K21" s="9"/>
      <c r="L21" s="9"/>
      <c r="M21" s="9"/>
      <c r="N21" s="7"/>
      <c r="O21" s="7"/>
    </row>
    <row r="22" spans="2:24">
      <c r="B22" s="6"/>
      <c r="C22" s="296" t="s">
        <v>280</v>
      </c>
      <c r="D22" s="297"/>
      <c r="E22" s="297"/>
      <c r="F22" s="297"/>
      <c r="G22" s="297"/>
      <c r="H22" s="297"/>
      <c r="I22" s="297"/>
      <c r="J22" s="297"/>
      <c r="K22" s="297"/>
      <c r="L22" s="297"/>
      <c r="M22" s="297"/>
      <c r="N22" s="298"/>
      <c r="O22" s="7"/>
    </row>
    <row r="23" spans="2:24">
      <c r="B23" s="6"/>
      <c r="C23" s="388" t="s">
        <v>281</v>
      </c>
      <c r="D23" s="376"/>
      <c r="E23" s="376"/>
      <c r="F23" s="376"/>
      <c r="G23" s="376"/>
      <c r="H23" s="376"/>
      <c r="I23" s="376"/>
      <c r="J23" s="376"/>
      <c r="K23" s="376"/>
      <c r="L23" s="376"/>
      <c r="M23" s="376"/>
      <c r="N23" s="377"/>
      <c r="O23" s="7"/>
    </row>
    <row r="24" spans="2:24">
      <c r="B24" s="6"/>
      <c r="C24" s="112" t="s">
        <v>282</v>
      </c>
      <c r="D24" s="208"/>
      <c r="E24" s="208"/>
      <c r="F24" s="208"/>
      <c r="G24" s="208"/>
      <c r="H24" s="208"/>
      <c r="I24" s="209"/>
      <c r="J24" s="535">
        <v>1599705063.888001</v>
      </c>
      <c r="K24" s="535"/>
      <c r="L24" s="535"/>
      <c r="M24" s="535"/>
      <c r="N24" s="536"/>
      <c r="O24" s="7"/>
      <c r="R24" s="27"/>
    </row>
    <row r="25" spans="2:24">
      <c r="B25" s="6"/>
      <c r="C25" s="388" t="s">
        <v>283</v>
      </c>
      <c r="D25" s="376"/>
      <c r="E25" s="376"/>
      <c r="F25" s="376"/>
      <c r="G25" s="376"/>
      <c r="H25" s="376"/>
      <c r="I25" s="376"/>
      <c r="J25" s="376"/>
      <c r="K25" s="376"/>
      <c r="L25" s="376"/>
      <c r="M25" s="376"/>
      <c r="N25" s="377"/>
      <c r="O25" s="7"/>
    </row>
    <row r="26" spans="2:24">
      <c r="B26" s="6"/>
      <c r="C26" s="119" t="s">
        <v>284</v>
      </c>
      <c r="D26" s="210"/>
      <c r="E26" s="210"/>
      <c r="F26" s="210"/>
      <c r="G26" s="210"/>
      <c r="H26" s="210"/>
      <c r="I26" s="210"/>
      <c r="J26" s="520">
        <f>SUM(J27:M28)</f>
        <v>13051260.390000001</v>
      </c>
      <c r="K26" s="521"/>
      <c r="L26" s="521"/>
      <c r="M26" s="521"/>
      <c r="N26" s="523"/>
      <c r="O26" s="7"/>
    </row>
    <row r="27" spans="2:24">
      <c r="B27" s="6"/>
      <c r="C27" s="211" t="s">
        <v>285</v>
      </c>
      <c r="D27" s="210"/>
      <c r="E27" s="210"/>
      <c r="F27" s="210"/>
      <c r="G27" s="210"/>
      <c r="H27" s="210"/>
      <c r="I27" s="210"/>
      <c r="J27" s="537">
        <v>0</v>
      </c>
      <c r="K27" s="538"/>
      <c r="L27" s="538"/>
      <c r="M27" s="538"/>
      <c r="N27" s="212"/>
      <c r="O27" s="7"/>
      <c r="Q27" s="27"/>
      <c r="R27" s="2"/>
      <c r="S27" s="27"/>
    </row>
    <row r="28" spans="2:24">
      <c r="B28" s="6"/>
      <c r="C28" s="211" t="s">
        <v>286</v>
      </c>
      <c r="D28" s="210"/>
      <c r="E28" s="210"/>
      <c r="F28" s="210"/>
      <c r="G28" s="210"/>
      <c r="H28" s="210"/>
      <c r="I28" s="210"/>
      <c r="J28" s="537">
        <v>13051260.390000001</v>
      </c>
      <c r="K28" s="538"/>
      <c r="L28" s="538"/>
      <c r="M28" s="538"/>
      <c r="N28" s="212"/>
      <c r="O28" s="7"/>
      <c r="Q28" s="2"/>
      <c r="R28" s="2"/>
      <c r="S28" s="27"/>
    </row>
    <row r="29" spans="2:24">
      <c r="B29" s="6"/>
      <c r="C29" s="119" t="s">
        <v>287</v>
      </c>
      <c r="D29" s="210"/>
      <c r="E29" s="210"/>
      <c r="F29" s="210"/>
      <c r="G29" s="210"/>
      <c r="H29" s="210"/>
      <c r="I29" s="210"/>
      <c r="J29" s="338">
        <f>SUM(J30:M31)</f>
        <v>7249180.3185000001</v>
      </c>
      <c r="K29" s="339"/>
      <c r="L29" s="339"/>
      <c r="M29" s="339"/>
      <c r="N29" s="339"/>
      <c r="O29" s="213"/>
    </row>
    <row r="30" spans="2:24">
      <c r="B30" s="6"/>
      <c r="C30" s="211" t="s">
        <v>288</v>
      </c>
      <c r="D30" s="210"/>
      <c r="E30" s="210"/>
      <c r="F30" s="210"/>
      <c r="G30" s="210"/>
      <c r="H30" s="210"/>
      <c r="I30" s="210"/>
      <c r="J30" s="338">
        <v>6783358.6600000001</v>
      </c>
      <c r="K30" s="339"/>
      <c r="L30" s="339"/>
      <c r="M30" s="339"/>
      <c r="N30" s="212"/>
      <c r="O30" s="7"/>
      <c r="R30" s="8"/>
      <c r="T30" s="8"/>
      <c r="V30" s="86"/>
      <c r="W30" s="86"/>
      <c r="X30" s="86"/>
    </row>
    <row r="31" spans="2:24">
      <c r="B31" s="6"/>
      <c r="C31" s="211" t="s">
        <v>289</v>
      </c>
      <c r="D31" s="210"/>
      <c r="E31" s="210"/>
      <c r="F31" s="210"/>
      <c r="G31" s="210"/>
      <c r="H31" s="210"/>
      <c r="I31" s="210"/>
      <c r="J31" s="512">
        <v>465821.65849999996</v>
      </c>
      <c r="K31" s="513"/>
      <c r="L31" s="513"/>
      <c r="M31" s="513"/>
      <c r="N31" s="214"/>
      <c r="O31" s="7"/>
      <c r="T31" s="8"/>
    </row>
    <row r="32" spans="2:24">
      <c r="B32" s="6"/>
      <c r="C32" s="388" t="s">
        <v>290</v>
      </c>
      <c r="D32" s="376"/>
      <c r="E32" s="376"/>
      <c r="F32" s="376"/>
      <c r="G32" s="376"/>
      <c r="H32" s="376"/>
      <c r="I32" s="376"/>
      <c r="J32" s="376"/>
      <c r="K32" s="376"/>
      <c r="L32" s="376"/>
      <c r="M32" s="376"/>
      <c r="N32" s="377"/>
      <c r="O32" s="7"/>
      <c r="T32" s="8"/>
    </row>
    <row r="33" spans="2:22">
      <c r="B33" s="6"/>
      <c r="C33" s="112" t="s">
        <v>291</v>
      </c>
      <c r="D33" s="208"/>
      <c r="E33" s="208"/>
      <c r="F33" s="208"/>
      <c r="G33" s="208"/>
      <c r="H33" s="208"/>
      <c r="I33" s="208"/>
      <c r="J33" s="520">
        <f>SUM(J34:M36)</f>
        <v>72594854</v>
      </c>
      <c r="K33" s="521"/>
      <c r="L33" s="521"/>
      <c r="M33" s="521"/>
      <c r="N33" s="523"/>
      <c r="O33" s="7"/>
      <c r="U33" s="86"/>
    </row>
    <row r="34" spans="2:22">
      <c r="B34" s="6"/>
      <c r="C34" s="71" t="s">
        <v>292</v>
      </c>
      <c r="D34" s="210"/>
      <c r="E34" s="210"/>
      <c r="F34" s="210"/>
      <c r="G34" s="210"/>
      <c r="H34" s="210"/>
      <c r="I34" s="215"/>
      <c r="J34" s="338">
        <v>15835397.920000006</v>
      </c>
      <c r="K34" s="339"/>
      <c r="L34" s="339"/>
      <c r="M34" s="339"/>
      <c r="N34" s="212"/>
      <c r="O34" s="7"/>
    </row>
    <row r="35" spans="2:22">
      <c r="B35" s="6"/>
      <c r="C35" s="71" t="s">
        <v>293</v>
      </c>
      <c r="D35" s="210"/>
      <c r="E35" s="210"/>
      <c r="F35" s="210"/>
      <c r="G35" s="210"/>
      <c r="H35" s="210"/>
      <c r="I35" s="215"/>
      <c r="J35" s="339">
        <v>56759456.079999998</v>
      </c>
      <c r="K35" s="339"/>
      <c r="L35" s="339"/>
      <c r="M35" s="339"/>
      <c r="N35" s="216"/>
      <c r="O35" s="7"/>
      <c r="S35" s="2"/>
      <c r="T35" s="8"/>
      <c r="V35" s="2"/>
    </row>
    <row r="36" spans="2:22">
      <c r="B36" s="6"/>
      <c r="C36" s="105" t="s">
        <v>294</v>
      </c>
      <c r="D36" s="217"/>
      <c r="E36" s="217"/>
      <c r="F36" s="217"/>
      <c r="G36" s="217"/>
      <c r="H36" s="217"/>
      <c r="I36" s="218"/>
      <c r="J36" s="339">
        <v>0</v>
      </c>
      <c r="K36" s="339"/>
      <c r="L36" s="339"/>
      <c r="M36" s="339"/>
      <c r="N36" s="216"/>
      <c r="O36" s="7"/>
      <c r="Q36" s="2"/>
      <c r="R36" s="2"/>
      <c r="S36" s="2"/>
      <c r="T36" s="2"/>
    </row>
    <row r="37" spans="2:22">
      <c r="B37" s="6"/>
      <c r="C37" s="388" t="s">
        <v>295</v>
      </c>
      <c r="D37" s="376"/>
      <c r="E37" s="376"/>
      <c r="F37" s="376"/>
      <c r="G37" s="376"/>
      <c r="H37" s="376"/>
      <c r="I37" s="376"/>
      <c r="J37" s="376"/>
      <c r="K37" s="376"/>
      <c r="L37" s="376"/>
      <c r="M37" s="376"/>
      <c r="N37" s="377"/>
      <c r="O37" s="7"/>
    </row>
    <row r="38" spans="2:22">
      <c r="B38" s="6"/>
      <c r="C38" s="112" t="s">
        <v>296</v>
      </c>
      <c r="D38" s="208"/>
      <c r="E38" s="208"/>
      <c r="F38" s="208"/>
      <c r="G38" s="208"/>
      <c r="H38" s="208"/>
      <c r="I38" s="209"/>
      <c r="J38" s="521">
        <f>SUM(J39:M41)</f>
        <v>64794532.780000009</v>
      </c>
      <c r="K38" s="521"/>
      <c r="L38" s="521"/>
      <c r="M38" s="521"/>
      <c r="N38" s="523"/>
      <c r="O38" s="7"/>
      <c r="P38" s="2"/>
      <c r="U38" s="86"/>
      <c r="V38" s="2"/>
    </row>
    <row r="39" spans="2:22">
      <c r="B39" s="6"/>
      <c r="C39" s="71" t="s">
        <v>297</v>
      </c>
      <c r="D39" s="210"/>
      <c r="E39" s="210"/>
      <c r="F39" s="210"/>
      <c r="G39" s="210"/>
      <c r="H39" s="210"/>
      <c r="I39" s="215"/>
      <c r="J39" s="339">
        <v>11546605.529999999</v>
      </c>
      <c r="K39" s="339"/>
      <c r="L39" s="339"/>
      <c r="M39" s="339"/>
      <c r="N39" s="212"/>
      <c r="O39" s="7"/>
    </row>
    <row r="40" spans="2:22">
      <c r="B40" s="6"/>
      <c r="C40" s="71" t="s">
        <v>298</v>
      </c>
      <c r="D40" s="210"/>
      <c r="E40" s="210"/>
      <c r="F40" s="210"/>
      <c r="G40" s="210"/>
      <c r="H40" s="210"/>
      <c r="I40" s="215"/>
      <c r="J40" s="339">
        <v>53247927.250000007</v>
      </c>
      <c r="K40" s="339"/>
      <c r="L40" s="339"/>
      <c r="M40" s="339"/>
      <c r="N40" s="212"/>
      <c r="O40" s="7"/>
      <c r="Q40" s="2"/>
      <c r="R40" s="97"/>
      <c r="T40" s="8"/>
      <c r="V40" s="2"/>
    </row>
    <row r="41" spans="2:22">
      <c r="B41" s="6"/>
      <c r="C41" s="105" t="s">
        <v>299</v>
      </c>
      <c r="D41" s="217"/>
      <c r="E41" s="217"/>
      <c r="F41" s="217"/>
      <c r="G41" s="217"/>
      <c r="H41" s="217"/>
      <c r="I41" s="218"/>
      <c r="J41" s="339">
        <v>0</v>
      </c>
      <c r="K41" s="339"/>
      <c r="L41" s="339"/>
      <c r="M41" s="339"/>
      <c r="N41" s="212"/>
      <c r="O41" s="7"/>
      <c r="R41" s="97"/>
    </row>
    <row r="42" spans="2:22">
      <c r="B42" s="6"/>
      <c r="C42" s="119" t="s">
        <v>300</v>
      </c>
      <c r="D42" s="210"/>
      <c r="E42" s="210"/>
      <c r="F42" s="210"/>
      <c r="G42" s="210"/>
      <c r="H42" s="210"/>
      <c r="I42" s="215"/>
      <c r="J42" s="524">
        <v>7166954.6900000004</v>
      </c>
      <c r="K42" s="525"/>
      <c r="L42" s="525"/>
      <c r="M42" s="525"/>
      <c r="N42" s="532"/>
      <c r="O42" s="7"/>
      <c r="P42" s="219"/>
      <c r="Q42" s="2"/>
      <c r="R42" s="97"/>
      <c r="S42" s="97"/>
      <c r="T42" s="97"/>
      <c r="V42" s="2"/>
    </row>
    <row r="43" spans="2:22">
      <c r="B43" s="6"/>
      <c r="C43" s="137" t="s">
        <v>301</v>
      </c>
      <c r="D43" s="220"/>
      <c r="E43" s="220"/>
      <c r="F43" s="220"/>
      <c r="G43" s="220"/>
      <c r="H43" s="220"/>
      <c r="I43" s="221"/>
      <c r="J43" s="524">
        <v>0</v>
      </c>
      <c r="K43" s="525"/>
      <c r="L43" s="525"/>
      <c r="M43" s="525"/>
      <c r="N43" s="532"/>
      <c r="O43" s="7"/>
    </row>
    <row r="44" spans="2:22">
      <c r="B44" s="6"/>
      <c r="C44" s="137" t="s">
        <v>302</v>
      </c>
      <c r="D44" s="220"/>
      <c r="E44" s="220"/>
      <c r="F44" s="220"/>
      <c r="G44" s="220"/>
      <c r="H44" s="220"/>
      <c r="I44" s="221"/>
      <c r="J44" s="524">
        <v>0</v>
      </c>
      <c r="K44" s="525"/>
      <c r="L44" s="525"/>
      <c r="M44" s="525"/>
      <c r="N44" s="532"/>
      <c r="O44" s="7"/>
    </row>
    <row r="45" spans="2:22" ht="13.95" customHeight="1">
      <c r="B45" s="6"/>
      <c r="C45" s="112" t="s">
        <v>303</v>
      </c>
      <c r="D45" s="208"/>
      <c r="E45" s="208"/>
      <c r="F45" s="208"/>
      <c r="G45" s="208"/>
      <c r="H45" s="208"/>
      <c r="I45" s="208"/>
      <c r="J45" s="520">
        <f>SUM(J46:M47)</f>
        <v>12889050.08</v>
      </c>
      <c r="K45" s="521"/>
      <c r="L45" s="521"/>
      <c r="M45" s="521"/>
      <c r="N45" s="523"/>
      <c r="O45" s="7"/>
      <c r="S45" s="2"/>
      <c r="T45" s="2"/>
      <c r="U45" s="8"/>
    </row>
    <row r="46" spans="2:22">
      <c r="B46" s="6"/>
      <c r="C46" s="211" t="s">
        <v>120</v>
      </c>
      <c r="D46" s="210"/>
      <c r="E46" s="210"/>
      <c r="F46" s="210"/>
      <c r="G46" s="210"/>
      <c r="H46" s="210"/>
      <c r="I46" s="210"/>
      <c r="J46" s="533">
        <v>0</v>
      </c>
      <c r="K46" s="534"/>
      <c r="L46" s="534"/>
      <c r="M46" s="534"/>
      <c r="N46" s="222"/>
      <c r="O46" s="7"/>
      <c r="S46" s="8"/>
    </row>
    <row r="47" spans="2:22">
      <c r="B47" s="6"/>
      <c r="C47" s="223" t="s">
        <v>121</v>
      </c>
      <c r="D47" s="217"/>
      <c r="E47" s="217"/>
      <c r="F47" s="217"/>
      <c r="G47" s="217"/>
      <c r="H47" s="217"/>
      <c r="I47" s="217"/>
      <c r="J47" s="518">
        <v>12889050.08</v>
      </c>
      <c r="K47" s="519"/>
      <c r="L47" s="519"/>
      <c r="M47" s="519"/>
      <c r="N47" s="224"/>
      <c r="O47" s="7"/>
      <c r="S47" s="86"/>
      <c r="T47" s="86"/>
    </row>
    <row r="48" spans="2:22">
      <c r="B48" s="6"/>
      <c r="C48" s="527" t="s">
        <v>304</v>
      </c>
      <c r="D48" s="528"/>
      <c r="E48" s="528"/>
      <c r="F48" s="528"/>
      <c r="G48" s="528"/>
      <c r="H48" s="528"/>
      <c r="I48" s="528"/>
      <c r="J48" s="528"/>
      <c r="K48" s="528"/>
      <c r="L48" s="528"/>
      <c r="M48" s="528"/>
      <c r="N48" s="529"/>
      <c r="O48" s="7"/>
    </row>
    <row r="49" spans="2:22" ht="15" thickBot="1">
      <c r="B49" s="6"/>
      <c r="C49" s="181" t="s">
        <v>305</v>
      </c>
      <c r="D49" s="225"/>
      <c r="E49" s="225"/>
      <c r="F49" s="225"/>
      <c r="G49" s="225"/>
      <c r="H49" s="225"/>
      <c r="I49" s="226"/>
      <c r="J49" s="530">
        <v>1594883753.5324531</v>
      </c>
      <c r="K49" s="530"/>
      <c r="L49" s="530"/>
      <c r="M49" s="530"/>
      <c r="N49" s="531"/>
      <c r="O49" s="7"/>
      <c r="Q49" s="27"/>
      <c r="S49" s="27"/>
    </row>
    <row r="50" spans="2:22" ht="15" thickBot="1">
      <c r="B50" s="6"/>
      <c r="C50" s="227"/>
      <c r="D50" s="227"/>
      <c r="E50" s="227"/>
      <c r="F50" s="227"/>
      <c r="G50" s="227"/>
      <c r="H50" s="227"/>
      <c r="I50" s="227"/>
      <c r="J50" s="227"/>
      <c r="K50" s="227"/>
      <c r="L50" s="227"/>
      <c r="M50" s="227"/>
      <c r="N50" s="227"/>
      <c r="O50" s="7"/>
      <c r="T50" s="27"/>
      <c r="U50" s="8"/>
    </row>
    <row r="51" spans="2:22">
      <c r="B51" s="6"/>
      <c r="C51" s="296" t="s">
        <v>306</v>
      </c>
      <c r="D51" s="297"/>
      <c r="E51" s="297"/>
      <c r="F51" s="297"/>
      <c r="G51" s="297"/>
      <c r="H51" s="297"/>
      <c r="I51" s="297"/>
      <c r="J51" s="297"/>
      <c r="K51" s="297"/>
      <c r="L51" s="297"/>
      <c r="M51" s="297"/>
      <c r="N51" s="298"/>
      <c r="O51" s="7"/>
      <c r="Q51" s="203"/>
      <c r="S51" s="86"/>
      <c r="V51" s="86"/>
    </row>
    <row r="52" spans="2:22">
      <c r="B52" s="6"/>
      <c r="C52" s="228"/>
      <c r="D52" s="179"/>
      <c r="E52" s="179"/>
      <c r="F52" s="179"/>
      <c r="G52" s="179"/>
      <c r="H52" s="179"/>
      <c r="I52" s="278" t="s">
        <v>307</v>
      </c>
      <c r="J52" s="250"/>
      <c r="K52" s="279"/>
      <c r="L52" s="278" t="s">
        <v>308</v>
      </c>
      <c r="M52" s="250"/>
      <c r="N52" s="280"/>
      <c r="O52" s="7"/>
      <c r="T52" s="8"/>
    </row>
    <row r="53" spans="2:22">
      <c r="B53" s="6"/>
      <c r="C53" s="137" t="s">
        <v>309</v>
      </c>
      <c r="D53" s="188"/>
      <c r="E53" s="188"/>
      <c r="F53" s="188"/>
      <c r="G53" s="188"/>
      <c r="H53" s="188"/>
      <c r="I53" s="524">
        <f>I63-I54-I58</f>
        <v>1457412513.3990011</v>
      </c>
      <c r="J53" s="525"/>
      <c r="K53" s="526"/>
      <c r="L53" s="521">
        <f>L63-L54-L58</f>
        <v>1448531473.5124531</v>
      </c>
      <c r="M53" s="521"/>
      <c r="N53" s="523"/>
      <c r="O53" s="7"/>
      <c r="R53" s="2"/>
    </row>
    <row r="54" spans="2:22">
      <c r="B54" s="6"/>
      <c r="C54" s="112" t="s">
        <v>310</v>
      </c>
      <c r="D54" s="229"/>
      <c r="E54" s="229"/>
      <c r="F54" s="229"/>
      <c r="G54" s="229"/>
      <c r="H54" s="229"/>
      <c r="I54" s="520">
        <f>SUM(I55:J57)</f>
        <v>139000683.21549997</v>
      </c>
      <c r="J54" s="521"/>
      <c r="K54" s="522"/>
      <c r="L54" s="520">
        <f>SUM(L55:M57)</f>
        <v>142970913.55650002</v>
      </c>
      <c r="M54" s="521"/>
      <c r="N54" s="523"/>
      <c r="O54" s="7"/>
      <c r="Q54" s="8"/>
      <c r="R54" s="8"/>
    </row>
    <row r="55" spans="2:22">
      <c r="B55" s="6"/>
      <c r="C55" s="71" t="s">
        <v>311</v>
      </c>
      <c r="D55" s="230"/>
      <c r="E55" s="230"/>
      <c r="F55" s="230"/>
      <c r="G55" s="230"/>
      <c r="H55" s="230"/>
      <c r="I55" s="338">
        <v>106826248.17749998</v>
      </c>
      <c r="J55" s="339"/>
      <c r="K55" s="231"/>
      <c r="L55" s="338">
        <v>44685111.259999998</v>
      </c>
      <c r="M55" s="339"/>
      <c r="N55" s="212"/>
      <c r="O55" s="7"/>
      <c r="P55" s="27"/>
    </row>
    <row r="56" spans="2:22">
      <c r="B56" s="6"/>
      <c r="C56" s="232" t="s">
        <v>312</v>
      </c>
      <c r="D56" s="230"/>
      <c r="E56" s="230"/>
      <c r="F56" s="230"/>
      <c r="G56" s="230"/>
      <c r="H56" s="230"/>
      <c r="I56" s="338">
        <v>27560011.873499997</v>
      </c>
      <c r="J56" s="339"/>
      <c r="K56" s="231"/>
      <c r="L56" s="338">
        <v>11356068.77</v>
      </c>
      <c r="M56" s="339"/>
      <c r="N56" s="212"/>
      <c r="O56" s="7"/>
      <c r="Q56" s="8"/>
    </row>
    <row r="57" spans="2:22">
      <c r="B57" s="6"/>
      <c r="C57" s="233" t="s">
        <v>313</v>
      </c>
      <c r="D57" s="234"/>
      <c r="E57" s="234"/>
      <c r="F57" s="234"/>
      <c r="G57" s="234"/>
      <c r="H57" s="234"/>
      <c r="I57" s="512">
        <v>4614423.1645</v>
      </c>
      <c r="J57" s="513"/>
      <c r="K57" s="235"/>
      <c r="L57" s="518">
        <v>86929733.526500002</v>
      </c>
      <c r="M57" s="519"/>
      <c r="N57" s="214"/>
      <c r="O57" s="7"/>
      <c r="P57" s="27"/>
    </row>
    <row r="58" spans="2:22">
      <c r="B58" s="6"/>
      <c r="C58" s="236" t="s">
        <v>314</v>
      </c>
      <c r="D58" s="229"/>
      <c r="E58" s="229"/>
      <c r="F58" s="229"/>
      <c r="G58" s="229"/>
      <c r="H58" s="229"/>
      <c r="I58" s="520">
        <f>SUM(I59:J62)</f>
        <v>3291867.2735000001</v>
      </c>
      <c r="J58" s="521"/>
      <c r="K58" s="522"/>
      <c r="L58" s="520">
        <f>SUM(L59:M62)</f>
        <v>3381366.4635000001</v>
      </c>
      <c r="M58" s="521"/>
      <c r="N58" s="523"/>
      <c r="O58" s="7"/>
    </row>
    <row r="59" spans="2:22">
      <c r="B59" s="6"/>
      <c r="C59" s="232" t="s">
        <v>315</v>
      </c>
      <c r="D59" s="230"/>
      <c r="E59" s="230"/>
      <c r="F59" s="230"/>
      <c r="G59" s="230"/>
      <c r="H59" s="230"/>
      <c r="I59" s="338">
        <v>0</v>
      </c>
      <c r="J59" s="339"/>
      <c r="K59" s="231"/>
      <c r="L59" s="338">
        <v>0</v>
      </c>
      <c r="M59" s="339"/>
      <c r="N59" s="212"/>
      <c r="O59" s="7"/>
      <c r="Q59" s="2"/>
    </row>
    <row r="60" spans="2:22">
      <c r="B60" s="6"/>
      <c r="C60" s="232" t="s">
        <v>316</v>
      </c>
      <c r="D60" s="230"/>
      <c r="E60" s="230"/>
      <c r="F60" s="230"/>
      <c r="G60" s="230"/>
      <c r="H60" s="230"/>
      <c r="I60" s="338">
        <v>0</v>
      </c>
      <c r="J60" s="339"/>
      <c r="K60" s="231"/>
      <c r="L60" s="338">
        <v>0</v>
      </c>
      <c r="M60" s="339"/>
      <c r="N60" s="212"/>
      <c r="O60" s="7"/>
    </row>
    <row r="61" spans="2:22">
      <c r="B61" s="6"/>
      <c r="C61" s="232" t="s">
        <v>317</v>
      </c>
      <c r="D61" s="230"/>
      <c r="E61" s="230"/>
      <c r="F61" s="230"/>
      <c r="G61" s="230"/>
      <c r="H61" s="230"/>
      <c r="I61" s="338">
        <v>3291867.2735000001</v>
      </c>
      <c r="J61" s="339"/>
      <c r="K61" s="231"/>
      <c r="L61" s="338">
        <v>3381366.4635000001</v>
      </c>
      <c r="M61" s="339"/>
      <c r="N61" s="212"/>
      <c r="O61" s="7"/>
    </row>
    <row r="62" spans="2:22">
      <c r="B62" s="6"/>
      <c r="C62" s="233" t="s">
        <v>318</v>
      </c>
      <c r="D62" s="234"/>
      <c r="E62" s="234"/>
      <c r="F62" s="234"/>
      <c r="G62" s="234"/>
      <c r="H62" s="234"/>
      <c r="I62" s="512">
        <v>0</v>
      </c>
      <c r="J62" s="513"/>
      <c r="K62" s="235"/>
      <c r="L62" s="512">
        <v>0</v>
      </c>
      <c r="M62" s="513"/>
      <c r="N62" s="214"/>
      <c r="O62" s="7"/>
    </row>
    <row r="63" spans="2:22" ht="15" thickBot="1">
      <c r="B63" s="6"/>
      <c r="C63" s="139" t="s">
        <v>319</v>
      </c>
      <c r="D63" s="237"/>
      <c r="E63" s="237"/>
      <c r="F63" s="237"/>
      <c r="G63" s="237"/>
      <c r="H63" s="237"/>
      <c r="I63" s="514">
        <v>1599705063.888001</v>
      </c>
      <c r="J63" s="515"/>
      <c r="K63" s="516"/>
      <c r="L63" s="514">
        <f>J49</f>
        <v>1594883753.5324531</v>
      </c>
      <c r="M63" s="515"/>
      <c r="N63" s="517"/>
      <c r="O63" s="7"/>
    </row>
    <row r="64" spans="2:22" ht="15" thickBot="1">
      <c r="B64" s="6"/>
      <c r="C64" s="227"/>
      <c r="D64" s="227"/>
      <c r="E64" s="227"/>
      <c r="F64" s="227"/>
      <c r="G64" s="227"/>
      <c r="H64" s="227"/>
      <c r="I64" s="227"/>
      <c r="J64" s="227"/>
      <c r="K64" s="227"/>
      <c r="L64" s="227"/>
      <c r="M64" s="227"/>
      <c r="N64" s="227"/>
      <c r="O64" s="7"/>
    </row>
    <row r="65" spans="2:17">
      <c r="B65" s="6"/>
      <c r="C65" s="296" t="s">
        <v>320</v>
      </c>
      <c r="D65" s="297"/>
      <c r="E65" s="297"/>
      <c r="F65" s="297"/>
      <c r="G65" s="297"/>
      <c r="H65" s="297"/>
      <c r="I65" s="297"/>
      <c r="J65" s="297"/>
      <c r="K65" s="297"/>
      <c r="L65" s="297"/>
      <c r="M65" s="297"/>
      <c r="N65" s="298"/>
      <c r="O65" s="7"/>
    </row>
    <row r="66" spans="2:17">
      <c r="B66" s="6"/>
      <c r="C66" s="238"/>
      <c r="D66" s="220"/>
      <c r="E66" s="220"/>
      <c r="F66" s="278" t="s">
        <v>156</v>
      </c>
      <c r="G66" s="250"/>
      <c r="H66" s="279"/>
      <c r="I66" s="278" t="s">
        <v>321</v>
      </c>
      <c r="J66" s="250"/>
      <c r="K66" s="279"/>
      <c r="L66" s="278" t="s">
        <v>322</v>
      </c>
      <c r="M66" s="250"/>
      <c r="N66" s="280"/>
      <c r="O66" s="7"/>
    </row>
    <row r="67" spans="2:17">
      <c r="B67" s="6"/>
      <c r="C67" s="137" t="s">
        <v>323</v>
      </c>
      <c r="D67" s="220"/>
      <c r="E67" s="221"/>
      <c r="F67" s="506" t="s">
        <v>324</v>
      </c>
      <c r="G67" s="501"/>
      <c r="H67" s="502"/>
      <c r="I67" s="496">
        <v>0.61207503851897471</v>
      </c>
      <c r="J67" s="497"/>
      <c r="K67" s="498"/>
      <c r="L67" s="507">
        <v>0.61419735143365051</v>
      </c>
      <c r="M67" s="508"/>
      <c r="N67" s="509"/>
      <c r="O67" s="7"/>
    </row>
    <row r="68" spans="2:17">
      <c r="B68" s="6"/>
      <c r="C68" s="137" t="s">
        <v>325</v>
      </c>
      <c r="D68" s="220"/>
      <c r="E68" s="221"/>
      <c r="F68" s="500" t="s">
        <v>326</v>
      </c>
      <c r="G68" s="501"/>
      <c r="H68" s="502"/>
      <c r="I68" s="496">
        <v>0.16890083297655728</v>
      </c>
      <c r="J68" s="497"/>
      <c r="K68" s="498"/>
      <c r="L68" s="507">
        <v>0.16759764661560414</v>
      </c>
      <c r="M68" s="510"/>
      <c r="N68" s="511"/>
      <c r="O68" s="7"/>
    </row>
    <row r="69" spans="2:17">
      <c r="B69" s="6"/>
      <c r="C69" s="137" t="s">
        <v>327</v>
      </c>
      <c r="D69" s="220"/>
      <c r="E69" s="221"/>
      <c r="F69" s="500" t="s">
        <v>328</v>
      </c>
      <c r="G69" s="501"/>
      <c r="H69" s="502"/>
      <c r="I69" s="503">
        <v>38.714450380739663</v>
      </c>
      <c r="J69" s="504"/>
      <c r="K69" s="504"/>
      <c r="L69" s="503">
        <v>39.238214008590376</v>
      </c>
      <c r="M69" s="504"/>
      <c r="N69" s="505"/>
      <c r="O69" s="7"/>
    </row>
    <row r="70" spans="2:17">
      <c r="B70" s="6"/>
      <c r="C70" s="119" t="s">
        <v>329</v>
      </c>
      <c r="D70" s="230"/>
      <c r="E70" s="230"/>
      <c r="F70" s="500" t="s">
        <v>330</v>
      </c>
      <c r="G70" s="501"/>
      <c r="H70" s="502"/>
      <c r="I70" s="496">
        <v>3.2380874739897397E-2</v>
      </c>
      <c r="J70" s="497"/>
      <c r="K70" s="498"/>
      <c r="L70" s="496">
        <v>3.1824632937686663E-2</v>
      </c>
      <c r="M70" s="497"/>
      <c r="N70" s="499"/>
      <c r="O70" s="7"/>
    </row>
    <row r="71" spans="2:17">
      <c r="B71" s="6"/>
      <c r="C71" s="137" t="s">
        <v>331</v>
      </c>
      <c r="D71" s="188"/>
      <c r="E71" s="187"/>
      <c r="F71" s="493">
        <v>0.22</v>
      </c>
      <c r="G71" s="494">
        <v>0.22</v>
      </c>
      <c r="H71" s="495">
        <v>0.22</v>
      </c>
      <c r="I71" s="496">
        <v>0.17212762985244778</v>
      </c>
      <c r="J71" s="497"/>
      <c r="K71" s="498"/>
      <c r="L71" s="496">
        <v>0.15196960617548114</v>
      </c>
      <c r="M71" s="497"/>
      <c r="N71" s="499"/>
      <c r="O71" s="7"/>
    </row>
    <row r="72" spans="2:17">
      <c r="B72" s="6"/>
      <c r="C72" s="137" t="s">
        <v>332</v>
      </c>
      <c r="D72" s="230"/>
      <c r="E72" s="230"/>
      <c r="F72" s="493">
        <v>0.27</v>
      </c>
      <c r="G72" s="494">
        <v>0.27</v>
      </c>
      <c r="H72" s="495">
        <v>0.27</v>
      </c>
      <c r="I72" s="496">
        <v>0.2088413816719594</v>
      </c>
      <c r="J72" s="497"/>
      <c r="K72" s="498"/>
      <c r="L72" s="496">
        <v>0.17662103773776269</v>
      </c>
      <c r="M72" s="497"/>
      <c r="N72" s="499"/>
      <c r="O72" s="7"/>
    </row>
    <row r="73" spans="2:17">
      <c r="B73" s="6"/>
      <c r="C73" s="137" t="s">
        <v>333</v>
      </c>
      <c r="D73" s="188"/>
      <c r="E73" s="187"/>
      <c r="F73" s="493">
        <v>0.32</v>
      </c>
      <c r="G73" s="494">
        <v>0.32</v>
      </c>
      <c r="H73" s="495">
        <v>0.32</v>
      </c>
      <c r="I73" s="496">
        <v>0.23735924070099976</v>
      </c>
      <c r="J73" s="497"/>
      <c r="K73" s="498"/>
      <c r="L73" s="496">
        <v>0.20755887051755845</v>
      </c>
      <c r="M73" s="497"/>
      <c r="N73" s="499"/>
      <c r="O73" s="7"/>
    </row>
    <row r="74" spans="2:17">
      <c r="B74" s="6"/>
      <c r="C74" s="137" t="s">
        <v>334</v>
      </c>
      <c r="D74" s="188"/>
      <c r="E74" s="187"/>
      <c r="F74" s="493">
        <v>0.36</v>
      </c>
      <c r="G74" s="494">
        <v>0.36</v>
      </c>
      <c r="H74" s="495">
        <v>0.36</v>
      </c>
      <c r="I74" s="496">
        <v>0.2650720907824094</v>
      </c>
      <c r="J74" s="497"/>
      <c r="K74" s="498"/>
      <c r="L74" s="496">
        <v>0.22900391621085514</v>
      </c>
      <c r="M74" s="497"/>
      <c r="N74" s="499"/>
      <c r="O74" s="7"/>
    </row>
    <row r="75" spans="2:17" ht="15" thickBot="1">
      <c r="B75" s="6"/>
      <c r="C75" s="139" t="s">
        <v>335</v>
      </c>
      <c r="D75" s="237"/>
      <c r="E75" s="237"/>
      <c r="F75" s="486">
        <v>0.47</v>
      </c>
      <c r="G75" s="487">
        <v>0.47</v>
      </c>
      <c r="H75" s="488">
        <v>0.47</v>
      </c>
      <c r="I75" s="489">
        <v>0.29218050818317853</v>
      </c>
      <c r="J75" s="490"/>
      <c r="K75" s="491"/>
      <c r="L75" s="489">
        <v>0.24965052369373081</v>
      </c>
      <c r="M75" s="490"/>
      <c r="N75" s="492"/>
      <c r="O75" s="7"/>
    </row>
    <row r="76" spans="2:17" ht="15" thickBot="1">
      <c r="B76" s="6"/>
      <c r="C76" s="227"/>
      <c r="D76" s="227"/>
      <c r="E76" s="227"/>
      <c r="F76" s="227"/>
      <c r="G76" s="227"/>
      <c r="H76" s="227"/>
      <c r="I76" s="227"/>
      <c r="J76" s="227"/>
      <c r="K76" s="227"/>
      <c r="L76" s="227"/>
      <c r="M76" s="227"/>
      <c r="N76" s="227"/>
      <c r="O76" s="7"/>
    </row>
    <row r="77" spans="2:17">
      <c r="B77" s="6"/>
      <c r="C77" s="296" t="s">
        <v>336</v>
      </c>
      <c r="D77" s="297"/>
      <c r="E77" s="297"/>
      <c r="F77" s="297"/>
      <c r="G77" s="271"/>
      <c r="H77" s="271"/>
      <c r="I77" s="297"/>
      <c r="J77" s="297"/>
      <c r="K77" s="297"/>
      <c r="L77" s="297"/>
      <c r="M77" s="297"/>
      <c r="N77" s="298"/>
      <c r="O77" s="7"/>
    </row>
    <row r="78" spans="2:17">
      <c r="B78" s="6"/>
      <c r="C78" s="239" t="s">
        <v>337</v>
      </c>
      <c r="D78" s="188"/>
      <c r="E78" s="188"/>
      <c r="F78" s="188"/>
      <c r="G78" s="278" t="s">
        <v>338</v>
      </c>
      <c r="H78" s="279"/>
      <c r="I78" s="278" t="s">
        <v>339</v>
      </c>
      <c r="J78" s="279"/>
      <c r="K78" s="278" t="s">
        <v>340</v>
      </c>
      <c r="L78" s="279"/>
      <c r="M78" s="250" t="s">
        <v>341</v>
      </c>
      <c r="N78" s="279"/>
      <c r="O78" s="7"/>
    </row>
    <row r="79" spans="2:17">
      <c r="B79" s="6"/>
      <c r="C79" s="240" t="s">
        <v>342</v>
      </c>
      <c r="D79" s="210"/>
      <c r="E79" s="210"/>
      <c r="F79" s="210"/>
      <c r="G79" s="443">
        <v>974000392.79349959</v>
      </c>
      <c r="H79" s="444"/>
      <c r="I79" s="462">
        <f>G79/$G$84</f>
        <v>0.61070306261269469</v>
      </c>
      <c r="J79" s="459"/>
      <c r="K79" s="443">
        <v>158</v>
      </c>
      <c r="L79" s="444"/>
      <c r="M79" s="462">
        <f>K79/$K$84</f>
        <v>0.65560165975103735</v>
      </c>
      <c r="N79" s="459"/>
      <c r="O79" s="7"/>
      <c r="Q79" s="97"/>
    </row>
    <row r="80" spans="2:17">
      <c r="B80" s="6"/>
      <c r="C80" s="240" t="s">
        <v>343</v>
      </c>
      <c r="D80" s="210"/>
      <c r="E80" s="210"/>
      <c r="F80" s="210"/>
      <c r="G80" s="443">
        <v>347095492.85895407</v>
      </c>
      <c r="H80" s="444"/>
      <c r="I80" s="462">
        <f t="shared" ref="I80:I83" si="0">G80/$G$84</f>
        <v>0.21763059037386526</v>
      </c>
      <c r="J80" s="459"/>
      <c r="K80" s="443">
        <v>32</v>
      </c>
      <c r="L80" s="444"/>
      <c r="M80" s="462">
        <f t="shared" ref="M80:M83" si="1">K80/$K$84</f>
        <v>0.13278008298755187</v>
      </c>
      <c r="N80" s="459"/>
      <c r="O80" s="7"/>
      <c r="P80" s="241"/>
      <c r="Q80" s="97"/>
    </row>
    <row r="81" spans="2:17">
      <c r="B81" s="6"/>
      <c r="C81" s="240" t="s">
        <v>344</v>
      </c>
      <c r="D81" s="210"/>
      <c r="E81" s="210"/>
      <c r="F81" s="210"/>
      <c r="G81" s="443">
        <v>14629976.99</v>
      </c>
      <c r="H81" s="444"/>
      <c r="I81" s="462">
        <f t="shared" si="0"/>
        <v>9.1730679164525718E-3</v>
      </c>
      <c r="J81" s="459"/>
      <c r="K81" s="443">
        <v>5</v>
      </c>
      <c r="L81" s="444"/>
      <c r="M81" s="462">
        <f t="shared" si="1"/>
        <v>2.0746887966804978E-2</v>
      </c>
      <c r="N81" s="459"/>
      <c r="O81" s="7"/>
      <c r="Q81" s="97"/>
    </row>
    <row r="82" spans="2:17">
      <c r="B82" s="6"/>
      <c r="C82" s="240" t="s">
        <v>345</v>
      </c>
      <c r="D82" s="210"/>
      <c r="E82" s="210"/>
      <c r="F82" s="210"/>
      <c r="G82" s="443">
        <v>47917789.313500002</v>
      </c>
      <c r="H82" s="444"/>
      <c r="I82" s="462">
        <f t="shared" si="0"/>
        <v>3.0044690848074995E-2</v>
      </c>
      <c r="J82" s="459"/>
      <c r="K82" s="443">
        <v>11</v>
      </c>
      <c r="L82" s="444"/>
      <c r="M82" s="462">
        <f t="shared" si="1"/>
        <v>4.5643153526970952E-2</v>
      </c>
      <c r="N82" s="459"/>
      <c r="O82" s="7"/>
      <c r="Q82" s="97"/>
    </row>
    <row r="83" spans="2:17">
      <c r="B83" s="6"/>
      <c r="C83" s="240" t="s">
        <v>346</v>
      </c>
      <c r="D83" s="210"/>
      <c r="E83" s="210"/>
      <c r="F83" s="210"/>
      <c r="G83" s="469">
        <v>211240101.57649997</v>
      </c>
      <c r="H83" s="470"/>
      <c r="I83" s="462">
        <f t="shared" si="0"/>
        <v>0.13244858824891248</v>
      </c>
      <c r="J83" s="459"/>
      <c r="K83" s="469">
        <v>35</v>
      </c>
      <c r="L83" s="470"/>
      <c r="M83" s="462">
        <f t="shared" si="1"/>
        <v>0.14522821576763487</v>
      </c>
      <c r="N83" s="459"/>
      <c r="O83" s="7"/>
      <c r="Q83" s="97"/>
    </row>
    <row r="84" spans="2:17">
      <c r="B84" s="6"/>
      <c r="C84" s="239" t="s">
        <v>347</v>
      </c>
      <c r="D84" s="188"/>
      <c r="E84" s="188"/>
      <c r="F84" s="188"/>
      <c r="G84" s="476">
        <f>SUM(G79:H83)</f>
        <v>1594883753.5324535</v>
      </c>
      <c r="H84" s="477"/>
      <c r="I84" s="480">
        <f>SUM(I79:J83)</f>
        <v>1</v>
      </c>
      <c r="J84" s="481"/>
      <c r="K84" s="474">
        <f>SUM(K79:L83)</f>
        <v>241</v>
      </c>
      <c r="L84" s="453"/>
      <c r="M84" s="452">
        <f>SUM(M79:N83)</f>
        <v>1</v>
      </c>
      <c r="N84" s="453"/>
      <c r="O84" s="7"/>
    </row>
    <row r="85" spans="2:17">
      <c r="B85" s="6"/>
      <c r="C85" s="227"/>
      <c r="D85" s="227"/>
      <c r="E85" s="227"/>
      <c r="F85" s="227"/>
      <c r="G85" s="227"/>
      <c r="H85" s="227"/>
      <c r="I85" s="227"/>
      <c r="J85" s="227"/>
      <c r="K85" s="227"/>
      <c r="L85" s="227"/>
      <c r="M85" s="227"/>
      <c r="N85" s="227"/>
      <c r="O85" s="7"/>
    </row>
    <row r="86" spans="2:17">
      <c r="B86" s="6"/>
      <c r="C86" s="239" t="s">
        <v>348</v>
      </c>
      <c r="D86" s="188"/>
      <c r="E86" s="188"/>
      <c r="F86" s="188"/>
      <c r="G86" s="278" t="s">
        <v>338</v>
      </c>
      <c r="H86" s="279"/>
      <c r="I86" s="278" t="s">
        <v>339</v>
      </c>
      <c r="J86" s="279"/>
      <c r="K86" s="278" t="s">
        <v>340</v>
      </c>
      <c r="L86" s="279"/>
      <c r="M86" s="250" t="s">
        <v>341</v>
      </c>
      <c r="N86" s="279"/>
      <c r="O86" s="7"/>
    </row>
    <row r="87" spans="2:17">
      <c r="B87" s="6"/>
      <c r="C87" s="240" t="s">
        <v>349</v>
      </c>
      <c r="D87" s="210"/>
      <c r="E87" s="210"/>
      <c r="F87" s="210"/>
      <c r="G87" s="443">
        <v>8872614.7974999994</v>
      </c>
      <c r="H87" s="444"/>
      <c r="I87" s="462">
        <f>G87/$G$92</f>
        <v>5.5631733521946981E-3</v>
      </c>
      <c r="J87" s="459"/>
      <c r="K87" s="443">
        <v>9</v>
      </c>
      <c r="L87" s="444"/>
      <c r="M87" s="467">
        <f>K87/$K$92</f>
        <v>3.7344398340248962E-2</v>
      </c>
      <c r="N87" s="468"/>
      <c r="O87" s="7"/>
    </row>
    <row r="88" spans="2:17">
      <c r="B88" s="6"/>
      <c r="C88" s="240" t="s">
        <v>350</v>
      </c>
      <c r="D88" s="210"/>
      <c r="E88" s="210"/>
      <c r="F88" s="210"/>
      <c r="G88" s="443">
        <v>205106608.99550003</v>
      </c>
      <c r="H88" s="444"/>
      <c r="I88" s="462">
        <f t="shared" ref="I88:I91" si="2">G88/$G$92</f>
        <v>0.12860285807113933</v>
      </c>
      <c r="J88" s="459"/>
      <c r="K88" s="443">
        <v>53</v>
      </c>
      <c r="L88" s="444"/>
      <c r="M88" s="462">
        <f t="shared" ref="M88:M91" si="3">K88/$K$92</f>
        <v>0.21991701244813278</v>
      </c>
      <c r="N88" s="459"/>
      <c r="O88" s="7"/>
    </row>
    <row r="89" spans="2:17">
      <c r="B89" s="6"/>
      <c r="C89" s="240" t="s">
        <v>351</v>
      </c>
      <c r="D89" s="210"/>
      <c r="E89" s="210"/>
      <c r="F89" s="210"/>
      <c r="G89" s="443">
        <v>315412897.19000006</v>
      </c>
      <c r="H89" s="444"/>
      <c r="I89" s="462">
        <f t="shared" si="2"/>
        <v>0.19776544622227352</v>
      </c>
      <c r="J89" s="459"/>
      <c r="K89" s="443">
        <v>60</v>
      </c>
      <c r="L89" s="444"/>
      <c r="M89" s="462">
        <f t="shared" si="3"/>
        <v>0.24896265560165975</v>
      </c>
      <c r="N89" s="459"/>
      <c r="O89" s="7"/>
    </row>
    <row r="90" spans="2:17">
      <c r="B90" s="6"/>
      <c r="C90" s="240" t="s">
        <v>352</v>
      </c>
      <c r="D90" s="210"/>
      <c r="E90" s="210"/>
      <c r="F90" s="210"/>
      <c r="G90" s="443">
        <v>798192868.83195281</v>
      </c>
      <c r="H90" s="444"/>
      <c r="I90" s="462">
        <f t="shared" si="2"/>
        <v>0.50047087573878846</v>
      </c>
      <c r="J90" s="459"/>
      <c r="K90" s="443">
        <v>85</v>
      </c>
      <c r="L90" s="444"/>
      <c r="M90" s="462">
        <f t="shared" si="3"/>
        <v>0.35269709543568467</v>
      </c>
      <c r="N90" s="459"/>
      <c r="O90" s="7"/>
    </row>
    <row r="91" spans="2:17">
      <c r="B91" s="6"/>
      <c r="C91" s="240" t="s">
        <v>353</v>
      </c>
      <c r="D91" s="210"/>
      <c r="E91" s="210"/>
      <c r="F91" s="210"/>
      <c r="G91" s="469">
        <v>267298763.71750033</v>
      </c>
      <c r="H91" s="470"/>
      <c r="I91" s="462">
        <f t="shared" si="2"/>
        <v>0.16759764661560411</v>
      </c>
      <c r="J91" s="459"/>
      <c r="K91" s="484">
        <v>34</v>
      </c>
      <c r="L91" s="485"/>
      <c r="M91" s="449">
        <f t="shared" si="3"/>
        <v>0.14107883817427386</v>
      </c>
      <c r="N91" s="446"/>
      <c r="O91" s="7"/>
    </row>
    <row r="92" spans="2:17">
      <c r="B92" s="6"/>
      <c r="C92" s="239" t="s">
        <v>347</v>
      </c>
      <c r="D92" s="188"/>
      <c r="E92" s="188"/>
      <c r="F92" s="188"/>
      <c r="G92" s="476">
        <f>SUM(G87:H91)</f>
        <v>1594883753.5324531</v>
      </c>
      <c r="H92" s="477"/>
      <c r="I92" s="452">
        <f>SUM(I87:J91)</f>
        <v>1.0000000000000002</v>
      </c>
      <c r="J92" s="473"/>
      <c r="K92" s="478">
        <f>SUM(K87:L91)</f>
        <v>241</v>
      </c>
      <c r="L92" s="479"/>
      <c r="M92" s="480">
        <f>SUM(M87:N91)</f>
        <v>1</v>
      </c>
      <c r="N92" s="481"/>
      <c r="O92" s="7"/>
    </row>
    <row r="93" spans="2:17">
      <c r="B93" s="6"/>
      <c r="C93" s="9"/>
      <c r="D93" s="9"/>
      <c r="E93" s="9"/>
      <c r="F93" s="9"/>
      <c r="G93" s="9"/>
      <c r="H93" s="9"/>
      <c r="I93" s="9"/>
      <c r="J93" s="9"/>
      <c r="K93" s="9"/>
      <c r="L93" s="9"/>
      <c r="M93" s="9"/>
      <c r="N93" s="9"/>
      <c r="O93" s="7"/>
    </row>
    <row r="94" spans="2:17">
      <c r="B94" s="6"/>
      <c r="C94" s="239" t="s">
        <v>354</v>
      </c>
      <c r="D94" s="188"/>
      <c r="E94" s="188"/>
      <c r="F94" s="188"/>
      <c r="G94" s="278" t="s">
        <v>338</v>
      </c>
      <c r="H94" s="279"/>
      <c r="I94" s="250" t="s">
        <v>339</v>
      </c>
      <c r="J94" s="279"/>
      <c r="K94" s="278" t="s">
        <v>340</v>
      </c>
      <c r="L94" s="279"/>
      <c r="M94" s="482" t="s">
        <v>341</v>
      </c>
      <c r="N94" s="483"/>
      <c r="O94" s="7"/>
    </row>
    <row r="95" spans="2:17">
      <c r="B95" s="6"/>
      <c r="C95" s="240">
        <v>2007</v>
      </c>
      <c r="D95" s="210"/>
      <c r="E95" s="210"/>
      <c r="F95" s="210"/>
      <c r="G95" s="443">
        <v>0</v>
      </c>
      <c r="H95" s="444"/>
      <c r="I95" s="458">
        <f t="shared" ref="I95:I111" si="4">G95/$G$112</f>
        <v>0</v>
      </c>
      <c r="J95" s="459"/>
      <c r="K95" s="443">
        <v>0</v>
      </c>
      <c r="L95" s="475"/>
      <c r="M95" s="467">
        <f t="shared" ref="M95:M111" si="5">K95/$K$112</f>
        <v>0</v>
      </c>
      <c r="N95" s="468"/>
      <c r="O95" s="7"/>
    </row>
    <row r="96" spans="2:17">
      <c r="B96" s="6"/>
      <c r="C96" s="240">
        <v>2008</v>
      </c>
      <c r="D96" s="210"/>
      <c r="E96" s="210"/>
      <c r="F96" s="210"/>
      <c r="G96" s="443">
        <v>0</v>
      </c>
      <c r="H96" s="444"/>
      <c r="I96" s="458">
        <f t="shared" si="4"/>
        <v>0</v>
      </c>
      <c r="J96" s="459"/>
      <c r="K96" s="443">
        <v>0</v>
      </c>
      <c r="L96" s="475"/>
      <c r="M96" s="462">
        <f t="shared" si="5"/>
        <v>0</v>
      </c>
      <c r="N96" s="459"/>
      <c r="O96" s="7"/>
    </row>
    <row r="97" spans="2:15">
      <c r="B97" s="6"/>
      <c r="C97" s="240">
        <v>2009</v>
      </c>
      <c r="D97" s="210"/>
      <c r="E97" s="210"/>
      <c r="F97" s="210"/>
      <c r="G97" s="443">
        <v>0</v>
      </c>
      <c r="H97" s="444"/>
      <c r="I97" s="458">
        <f t="shared" si="4"/>
        <v>0</v>
      </c>
      <c r="J97" s="459"/>
      <c r="K97" s="443">
        <v>0</v>
      </c>
      <c r="L97" s="475"/>
      <c r="M97" s="462">
        <f t="shared" si="5"/>
        <v>0</v>
      </c>
      <c r="N97" s="459"/>
      <c r="O97" s="7"/>
    </row>
    <row r="98" spans="2:15">
      <c r="B98" s="6"/>
      <c r="C98" s="240">
        <v>2010</v>
      </c>
      <c r="D98" s="210"/>
      <c r="E98" s="210"/>
      <c r="F98" s="210"/>
      <c r="G98" s="443">
        <v>1468900.01</v>
      </c>
      <c r="H98" s="444"/>
      <c r="I98" s="458">
        <f t="shared" si="4"/>
        <v>9.2100756982857414E-4</v>
      </c>
      <c r="J98" s="459"/>
      <c r="K98" s="443">
        <v>2</v>
      </c>
      <c r="L98" s="475"/>
      <c r="M98" s="462">
        <f t="shared" si="5"/>
        <v>8.2987551867219917E-3</v>
      </c>
      <c r="N98" s="459"/>
      <c r="O98" s="7"/>
    </row>
    <row r="99" spans="2:15">
      <c r="B99" s="6"/>
      <c r="C99" s="240">
        <v>2011</v>
      </c>
      <c r="D99" s="210"/>
      <c r="E99" s="210"/>
      <c r="F99" s="210"/>
      <c r="G99" s="443">
        <v>406559.66</v>
      </c>
      <c r="H99" s="444"/>
      <c r="I99" s="458">
        <f t="shared" si="4"/>
        <v>2.5491491721545519E-4</v>
      </c>
      <c r="J99" s="459"/>
      <c r="K99" s="443">
        <v>1</v>
      </c>
      <c r="L99" s="475"/>
      <c r="M99" s="462">
        <f t="shared" si="5"/>
        <v>4.1493775933609959E-3</v>
      </c>
      <c r="N99" s="459"/>
      <c r="O99" s="7"/>
    </row>
    <row r="100" spans="2:15">
      <c r="B100" s="6"/>
      <c r="C100" s="240">
        <v>2012</v>
      </c>
      <c r="D100" s="210"/>
      <c r="E100" s="210"/>
      <c r="F100" s="210"/>
      <c r="G100" s="443">
        <v>5061522.26</v>
      </c>
      <c r="H100" s="444"/>
      <c r="I100" s="458">
        <f t="shared" si="4"/>
        <v>3.1735994857239004E-3</v>
      </c>
      <c r="J100" s="459"/>
      <c r="K100" s="443">
        <v>3</v>
      </c>
      <c r="L100" s="475"/>
      <c r="M100" s="462">
        <f t="shared" si="5"/>
        <v>1.2448132780082987E-2</v>
      </c>
      <c r="N100" s="459"/>
      <c r="O100" s="7"/>
    </row>
    <row r="101" spans="2:15">
      <c r="B101" s="6"/>
      <c r="C101" s="240">
        <v>2013</v>
      </c>
      <c r="D101" s="210"/>
      <c r="E101" s="210"/>
      <c r="F101" s="210"/>
      <c r="G101" s="443">
        <v>13777786.649999999</v>
      </c>
      <c r="H101" s="444"/>
      <c r="I101" s="458">
        <f t="shared" si="4"/>
        <v>8.6387403592795061E-3</v>
      </c>
      <c r="J101" s="459"/>
      <c r="K101" s="443">
        <v>5</v>
      </c>
      <c r="L101" s="475"/>
      <c r="M101" s="462">
        <f t="shared" si="5"/>
        <v>2.0746887966804978E-2</v>
      </c>
      <c r="N101" s="459"/>
      <c r="O101" s="7"/>
    </row>
    <row r="102" spans="2:15">
      <c r="B102" s="6"/>
      <c r="C102" s="240">
        <v>2014</v>
      </c>
      <c r="D102" s="210"/>
      <c r="E102" s="210"/>
      <c r="F102" s="210"/>
      <c r="G102" s="443">
        <v>0</v>
      </c>
      <c r="H102" s="444"/>
      <c r="I102" s="458">
        <f t="shared" si="4"/>
        <v>0</v>
      </c>
      <c r="J102" s="459"/>
      <c r="K102" s="443">
        <v>0</v>
      </c>
      <c r="L102" s="475"/>
      <c r="M102" s="462">
        <f t="shared" si="5"/>
        <v>0</v>
      </c>
      <c r="N102" s="459"/>
      <c r="O102" s="7"/>
    </row>
    <row r="103" spans="2:15">
      <c r="B103" s="6"/>
      <c r="C103" s="240">
        <v>2015</v>
      </c>
      <c r="D103" s="210"/>
      <c r="E103" s="210"/>
      <c r="F103" s="210"/>
      <c r="G103" s="443">
        <v>4351475.5124999993</v>
      </c>
      <c r="H103" s="444"/>
      <c r="I103" s="458">
        <f t="shared" si="4"/>
        <v>2.7283966639336963E-3</v>
      </c>
      <c r="J103" s="459"/>
      <c r="K103" s="443">
        <v>4</v>
      </c>
      <c r="L103" s="475"/>
      <c r="M103" s="462">
        <f t="shared" si="5"/>
        <v>1.6597510373443983E-2</v>
      </c>
      <c r="N103" s="459"/>
      <c r="O103" s="7"/>
    </row>
    <row r="104" spans="2:15">
      <c r="B104" s="6"/>
      <c r="C104" s="240">
        <v>2016</v>
      </c>
      <c r="D104" s="210"/>
      <c r="E104" s="210"/>
      <c r="F104" s="210"/>
      <c r="G104" s="443">
        <v>18121499.91</v>
      </c>
      <c r="H104" s="444"/>
      <c r="I104" s="458">
        <f t="shared" si="4"/>
        <v>1.1362270052512169E-2</v>
      </c>
      <c r="J104" s="459"/>
      <c r="K104" s="443">
        <v>7</v>
      </c>
      <c r="L104" s="475"/>
      <c r="M104" s="462">
        <f t="shared" si="5"/>
        <v>2.9045643153526972E-2</v>
      </c>
      <c r="N104" s="459"/>
      <c r="O104" s="7"/>
    </row>
    <row r="105" spans="2:15">
      <c r="B105" s="6"/>
      <c r="C105" s="240">
        <v>2017</v>
      </c>
      <c r="D105" s="210"/>
      <c r="E105" s="210"/>
      <c r="F105" s="210"/>
      <c r="G105" s="443">
        <v>102638055.16749999</v>
      </c>
      <c r="H105" s="444"/>
      <c r="I105" s="458">
        <f t="shared" si="4"/>
        <v>6.4354568124586162E-2</v>
      </c>
      <c r="J105" s="459"/>
      <c r="K105" s="443">
        <v>13</v>
      </c>
      <c r="L105" s="475"/>
      <c r="M105" s="462">
        <f t="shared" si="5"/>
        <v>5.3941908713692949E-2</v>
      </c>
      <c r="N105" s="459"/>
      <c r="O105" s="7"/>
    </row>
    <row r="106" spans="2:15">
      <c r="B106" s="6"/>
      <c r="C106" s="240">
        <v>2018</v>
      </c>
      <c r="D106" s="210"/>
      <c r="E106" s="210"/>
      <c r="F106" s="210"/>
      <c r="G106" s="443">
        <v>164756263.24800003</v>
      </c>
      <c r="H106" s="444"/>
      <c r="I106" s="458">
        <f t="shared" si="4"/>
        <v>0.10330299175917176</v>
      </c>
      <c r="J106" s="459"/>
      <c r="K106" s="443">
        <v>19</v>
      </c>
      <c r="L106" s="475"/>
      <c r="M106" s="462">
        <f t="shared" si="5"/>
        <v>7.8838174273858919E-2</v>
      </c>
      <c r="N106" s="459"/>
      <c r="O106" s="7"/>
    </row>
    <row r="107" spans="2:15">
      <c r="B107" s="6"/>
      <c r="C107" s="240">
        <v>2019</v>
      </c>
      <c r="D107" s="210"/>
      <c r="E107" s="210"/>
      <c r="F107" s="210"/>
      <c r="G107" s="443">
        <v>210633684.20149994</v>
      </c>
      <c r="H107" s="444"/>
      <c r="I107" s="458">
        <f t="shared" si="4"/>
        <v>0.13206836155611626</v>
      </c>
      <c r="J107" s="459"/>
      <c r="K107" s="443">
        <v>37</v>
      </c>
      <c r="L107" s="475"/>
      <c r="M107" s="462">
        <f t="shared" si="5"/>
        <v>0.15352697095435686</v>
      </c>
      <c r="N107" s="459"/>
      <c r="O107" s="7"/>
    </row>
    <row r="108" spans="2:15">
      <c r="B108" s="6"/>
      <c r="C108" s="240">
        <v>2020</v>
      </c>
      <c r="D108" s="210"/>
      <c r="E108" s="210"/>
      <c r="F108" s="210"/>
      <c r="G108" s="443">
        <v>327582951.90895408</v>
      </c>
      <c r="H108" s="444"/>
      <c r="I108" s="458">
        <f t="shared" si="4"/>
        <v>0.20539613071071902</v>
      </c>
      <c r="J108" s="459"/>
      <c r="K108" s="443">
        <v>34</v>
      </c>
      <c r="L108" s="475"/>
      <c r="M108" s="462">
        <f t="shared" si="5"/>
        <v>0.14107883817427386</v>
      </c>
      <c r="N108" s="459"/>
      <c r="O108" s="7"/>
    </row>
    <row r="109" spans="2:15">
      <c r="B109" s="6"/>
      <c r="C109" s="240">
        <v>2021</v>
      </c>
      <c r="D109" s="210"/>
      <c r="E109" s="210"/>
      <c r="F109" s="210"/>
      <c r="G109" s="443">
        <v>90908464.700500011</v>
      </c>
      <c r="H109" s="444"/>
      <c r="I109" s="458">
        <f t="shared" si="4"/>
        <v>5.700005690016588E-2</v>
      </c>
      <c r="J109" s="459"/>
      <c r="K109" s="443">
        <v>25</v>
      </c>
      <c r="L109" s="475"/>
      <c r="M109" s="462">
        <f t="shared" si="5"/>
        <v>0.1037344398340249</v>
      </c>
      <c r="N109" s="459"/>
      <c r="O109" s="7"/>
    </row>
    <row r="110" spans="2:15">
      <c r="B110" s="6"/>
      <c r="C110" s="240">
        <v>2022</v>
      </c>
      <c r="D110" s="210"/>
      <c r="E110" s="210"/>
      <c r="F110" s="210"/>
      <c r="G110" s="443">
        <v>446654809.62449992</v>
      </c>
      <c r="H110" s="444"/>
      <c r="I110" s="458">
        <f t="shared" si="4"/>
        <v>0.28005477429638326</v>
      </c>
      <c r="J110" s="459"/>
      <c r="K110" s="443">
        <v>57</v>
      </c>
      <c r="L110" s="475"/>
      <c r="M110" s="462">
        <f t="shared" si="5"/>
        <v>0.23651452282157676</v>
      </c>
      <c r="N110" s="459"/>
      <c r="O110" s="7"/>
    </row>
    <row r="111" spans="2:15">
      <c r="B111" s="6"/>
      <c r="C111" s="240">
        <v>2023</v>
      </c>
      <c r="D111" s="210"/>
      <c r="E111" s="210"/>
      <c r="F111" s="210"/>
      <c r="G111" s="469">
        <v>208521780.67899996</v>
      </c>
      <c r="H111" s="470"/>
      <c r="I111" s="458">
        <f t="shared" si="4"/>
        <v>0.13074418760436435</v>
      </c>
      <c r="J111" s="459"/>
      <c r="K111" s="469">
        <v>34</v>
      </c>
      <c r="L111" s="470"/>
      <c r="M111" s="462">
        <f t="shared" si="5"/>
        <v>0.14107883817427386</v>
      </c>
      <c r="N111" s="459"/>
      <c r="O111" s="7"/>
    </row>
    <row r="112" spans="2:15">
      <c r="B112" s="6"/>
      <c r="C112" s="239" t="s">
        <v>347</v>
      </c>
      <c r="D112" s="188"/>
      <c r="E112" s="188"/>
      <c r="F112" s="188"/>
      <c r="G112" s="471">
        <f>SUM(G95:H111)</f>
        <v>1594883753.532454</v>
      </c>
      <c r="H112" s="472"/>
      <c r="I112" s="452">
        <f>SUM(I95:J111)</f>
        <v>1</v>
      </c>
      <c r="J112" s="473"/>
      <c r="K112" s="474">
        <f>SUM(K95:L111)</f>
        <v>241</v>
      </c>
      <c r="L112" s="453"/>
      <c r="M112" s="452">
        <f>SUM(M95:N111)</f>
        <v>0.99999999999999978</v>
      </c>
      <c r="N112" s="453"/>
      <c r="O112" s="7"/>
    </row>
    <row r="113" spans="2:15">
      <c r="B113" s="6"/>
      <c r="C113" s="9"/>
      <c r="D113" s="9"/>
      <c r="E113" s="9"/>
      <c r="F113" s="9"/>
      <c r="G113" s="9"/>
      <c r="H113" s="9"/>
      <c r="I113" s="9"/>
      <c r="J113" s="9"/>
      <c r="K113" s="9"/>
      <c r="L113" s="9"/>
      <c r="M113" s="9"/>
      <c r="N113" s="9"/>
      <c r="O113" s="7"/>
    </row>
    <row r="114" spans="2:15">
      <c r="B114" s="6"/>
      <c r="C114" s="239" t="s">
        <v>355</v>
      </c>
      <c r="D114" s="188"/>
      <c r="E114" s="188"/>
      <c r="F114" s="188"/>
      <c r="G114" s="278" t="s">
        <v>338</v>
      </c>
      <c r="H114" s="279"/>
      <c r="I114" s="278" t="s">
        <v>339</v>
      </c>
      <c r="J114" s="279"/>
      <c r="K114" s="278" t="s">
        <v>340</v>
      </c>
      <c r="L114" s="279"/>
      <c r="M114" s="250" t="s">
        <v>341</v>
      </c>
      <c r="N114" s="279"/>
      <c r="O114" s="7"/>
    </row>
    <row r="115" spans="2:15">
      <c r="B115" s="6"/>
      <c r="C115" s="240" t="s">
        <v>356</v>
      </c>
      <c r="D115" s="210"/>
      <c r="E115" s="210"/>
      <c r="F115" s="210"/>
      <c r="G115" s="463">
        <v>0</v>
      </c>
      <c r="H115" s="464"/>
      <c r="I115" s="458">
        <f>G115/$G$121</f>
        <v>0</v>
      </c>
      <c r="J115" s="459"/>
      <c r="K115" s="465">
        <v>0</v>
      </c>
      <c r="L115" s="466"/>
      <c r="M115" s="467">
        <f>K115/$K$121</f>
        <v>0</v>
      </c>
      <c r="N115" s="468"/>
      <c r="O115" s="7"/>
    </row>
    <row r="116" spans="2:15">
      <c r="B116" s="6"/>
      <c r="C116" s="240" t="s">
        <v>357</v>
      </c>
      <c r="D116" s="210"/>
      <c r="E116" s="210"/>
      <c r="F116" s="210"/>
      <c r="G116" s="443">
        <v>232531835.25</v>
      </c>
      <c r="H116" s="444"/>
      <c r="I116" s="458">
        <f t="shared" ref="I116:I120" si="6">G116/$G$121</f>
        <v>0.1457986105476172</v>
      </c>
      <c r="J116" s="459"/>
      <c r="K116" s="460">
        <v>17</v>
      </c>
      <c r="L116" s="461"/>
      <c r="M116" s="462">
        <f t="shared" ref="M116:M120" si="7">K116/$K$121</f>
        <v>7.0539419087136929E-2</v>
      </c>
      <c r="N116" s="459"/>
      <c r="O116" s="7"/>
    </row>
    <row r="117" spans="2:15">
      <c r="B117" s="6"/>
      <c r="C117" s="240" t="s">
        <v>358</v>
      </c>
      <c r="D117" s="210"/>
      <c r="E117" s="210"/>
      <c r="F117" s="210"/>
      <c r="G117" s="443">
        <v>388664514.53345394</v>
      </c>
      <c r="H117" s="444"/>
      <c r="I117" s="458">
        <f t="shared" si="6"/>
        <v>0.24369457251828813</v>
      </c>
      <c r="J117" s="459"/>
      <c r="K117" s="460">
        <v>38</v>
      </c>
      <c r="L117" s="461"/>
      <c r="M117" s="462">
        <f t="shared" si="7"/>
        <v>0.15767634854771784</v>
      </c>
      <c r="N117" s="459"/>
      <c r="O117" s="7"/>
    </row>
    <row r="118" spans="2:15">
      <c r="B118" s="6"/>
      <c r="C118" s="240" t="s">
        <v>359</v>
      </c>
      <c r="D118" s="210"/>
      <c r="E118" s="210"/>
      <c r="F118" s="210"/>
      <c r="G118" s="443">
        <v>744649662.0669992</v>
      </c>
      <c r="H118" s="444"/>
      <c r="I118" s="458">
        <f t="shared" si="6"/>
        <v>0.46689902033154473</v>
      </c>
      <c r="J118" s="459"/>
      <c r="K118" s="460">
        <v>147</v>
      </c>
      <c r="L118" s="461"/>
      <c r="M118" s="462">
        <f t="shared" si="7"/>
        <v>0.60995850622406644</v>
      </c>
      <c r="N118" s="459"/>
      <c r="O118" s="7"/>
    </row>
    <row r="119" spans="2:15">
      <c r="B119" s="6"/>
      <c r="C119" s="240" t="s">
        <v>360</v>
      </c>
      <c r="D119" s="210"/>
      <c r="E119" s="210"/>
      <c r="F119" s="210"/>
      <c r="G119" s="443">
        <v>223755009.54199982</v>
      </c>
      <c r="H119" s="444"/>
      <c r="I119" s="458">
        <f t="shared" si="6"/>
        <v>0.14029549742820602</v>
      </c>
      <c r="J119" s="459"/>
      <c r="K119" s="460">
        <v>37</v>
      </c>
      <c r="L119" s="461"/>
      <c r="M119" s="462">
        <f t="shared" si="7"/>
        <v>0.15352697095435686</v>
      </c>
      <c r="N119" s="459"/>
      <c r="O119" s="7"/>
    </row>
    <row r="120" spans="2:15">
      <c r="B120" s="6"/>
      <c r="C120" s="240" t="s">
        <v>361</v>
      </c>
      <c r="D120" s="210"/>
      <c r="E120" s="210"/>
      <c r="F120" s="210"/>
      <c r="G120" s="443">
        <v>5282732.1400001049</v>
      </c>
      <c r="H120" s="444"/>
      <c r="I120" s="445">
        <f t="shared" si="6"/>
        <v>3.312299174343938E-3</v>
      </c>
      <c r="J120" s="446"/>
      <c r="K120" s="447">
        <v>2</v>
      </c>
      <c r="L120" s="448"/>
      <c r="M120" s="449">
        <f t="shared" si="7"/>
        <v>8.2987551867219917E-3</v>
      </c>
      <c r="N120" s="446"/>
      <c r="O120" s="7"/>
    </row>
    <row r="121" spans="2:15">
      <c r="B121" s="6"/>
      <c r="C121" s="239" t="s">
        <v>347</v>
      </c>
      <c r="D121" s="188"/>
      <c r="E121" s="188"/>
      <c r="F121" s="188"/>
      <c r="G121" s="450">
        <f>SUM(G115:H120)</f>
        <v>1594883753.5324531</v>
      </c>
      <c r="H121" s="451"/>
      <c r="I121" s="452">
        <f>SUM(I115:J120)</f>
        <v>1</v>
      </c>
      <c r="J121" s="453"/>
      <c r="K121" s="454">
        <f>SUM(K115:L120)</f>
        <v>241</v>
      </c>
      <c r="L121" s="455"/>
      <c r="M121" s="456">
        <f>SUM(M115:N120)</f>
        <v>1</v>
      </c>
      <c r="N121" s="457"/>
      <c r="O121" s="7"/>
    </row>
    <row r="122" spans="2:15" ht="15" thickBot="1">
      <c r="B122" s="201"/>
      <c r="C122" s="202"/>
      <c r="D122" s="202"/>
      <c r="E122" s="202"/>
      <c r="F122" s="202"/>
      <c r="G122" s="202"/>
      <c r="H122" s="202"/>
      <c r="I122" s="202"/>
      <c r="J122" s="202"/>
      <c r="K122" s="202"/>
      <c r="L122" s="202"/>
      <c r="M122" s="202"/>
      <c r="N122" s="202"/>
      <c r="O122" s="123"/>
    </row>
    <row r="184" spans="11:11">
      <c r="K184" s="1">
        <v>2457389.4</v>
      </c>
    </row>
  </sheetData>
  <mergeCells count="267">
    <mergeCell ref="C3:N4"/>
    <mergeCell ref="C6:N6"/>
    <mergeCell ref="J8:N8"/>
    <mergeCell ref="J9:N9"/>
    <mergeCell ref="C10:E11"/>
    <mergeCell ref="J10:N10"/>
    <mergeCell ref="J11:N11"/>
    <mergeCell ref="C17:E18"/>
    <mergeCell ref="J17:N17"/>
    <mergeCell ref="J18:N18"/>
    <mergeCell ref="J19:N19"/>
    <mergeCell ref="J20:N20"/>
    <mergeCell ref="C22:N22"/>
    <mergeCell ref="J12:N12"/>
    <mergeCell ref="C13:E14"/>
    <mergeCell ref="J13:N13"/>
    <mergeCell ref="J14:N14"/>
    <mergeCell ref="J15:N15"/>
    <mergeCell ref="J16:N16"/>
    <mergeCell ref="J29:N29"/>
    <mergeCell ref="J30:M30"/>
    <mergeCell ref="J31:M31"/>
    <mergeCell ref="C32:N32"/>
    <mergeCell ref="J33:N33"/>
    <mergeCell ref="J34:M34"/>
    <mergeCell ref="C23:N23"/>
    <mergeCell ref="J24:N24"/>
    <mergeCell ref="C25:N25"/>
    <mergeCell ref="J26:N26"/>
    <mergeCell ref="J27:M27"/>
    <mergeCell ref="J28:M28"/>
    <mergeCell ref="J41:M41"/>
    <mergeCell ref="J42:N42"/>
    <mergeCell ref="J43:N43"/>
    <mergeCell ref="J44:N44"/>
    <mergeCell ref="J45:N45"/>
    <mergeCell ref="J46:M46"/>
    <mergeCell ref="J35:M35"/>
    <mergeCell ref="J36:M36"/>
    <mergeCell ref="C37:N37"/>
    <mergeCell ref="J38:N38"/>
    <mergeCell ref="J39:M39"/>
    <mergeCell ref="J40:M40"/>
    <mergeCell ref="I53:K53"/>
    <mergeCell ref="L53:N53"/>
    <mergeCell ref="I54:K54"/>
    <mergeCell ref="L54:N54"/>
    <mergeCell ref="I55:J55"/>
    <mergeCell ref="L55:M55"/>
    <mergeCell ref="J47:M47"/>
    <mergeCell ref="C48:N48"/>
    <mergeCell ref="J49:N49"/>
    <mergeCell ref="C51:N51"/>
    <mergeCell ref="I52:K52"/>
    <mergeCell ref="L52:N52"/>
    <mergeCell ref="I59:J59"/>
    <mergeCell ref="L59:M59"/>
    <mergeCell ref="I60:J60"/>
    <mergeCell ref="L60:M60"/>
    <mergeCell ref="I61:J61"/>
    <mergeCell ref="L61:M61"/>
    <mergeCell ref="I56:J56"/>
    <mergeCell ref="L56:M56"/>
    <mergeCell ref="I57:J57"/>
    <mergeCell ref="L57:M57"/>
    <mergeCell ref="I58:K58"/>
    <mergeCell ref="L58:N58"/>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F71:H71"/>
    <mergeCell ref="I71:K71"/>
    <mergeCell ref="L71:N71"/>
    <mergeCell ref="F72:H72"/>
    <mergeCell ref="I72:K72"/>
    <mergeCell ref="L72:N72"/>
    <mergeCell ref="F69:H69"/>
    <mergeCell ref="I69:K69"/>
    <mergeCell ref="L69:N69"/>
    <mergeCell ref="F70:H70"/>
    <mergeCell ref="I70:K70"/>
    <mergeCell ref="L70:N7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8" ma:contentTypeDescription="Create a new document." ma:contentTypeScope="" ma:versionID="c3a9e330d9dd8b330958ede4e2c39911">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e424611cb15f86b8538eb3dfca3d4b"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4A28D-CB4F-4E97-9ABE-7DCBBA8EB3E7}">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2.xml><?xml version="1.0" encoding="utf-8"?>
<ds:datastoreItem xmlns:ds="http://schemas.openxmlformats.org/officeDocument/2006/customXml" ds:itemID="{E8843C43-EAFB-4FA0-B4C6-2453256FCBF8}">
  <ds:schemaRefs>
    <ds:schemaRef ds:uri="http://schemas.microsoft.com/sharepoint/v3/contenttype/forms"/>
  </ds:schemaRefs>
</ds:datastoreItem>
</file>

<file path=customXml/itemProps3.xml><?xml version="1.0" encoding="utf-8"?>
<ds:datastoreItem xmlns:ds="http://schemas.openxmlformats.org/officeDocument/2006/customXml" ds:itemID="{C25CC6B7-E4C8-4F75-AF85-5F82C208D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Lunga Mputa</cp:lastModifiedBy>
  <dcterms:created xsi:type="dcterms:W3CDTF">2024-02-15T13:05:00Z</dcterms:created>
  <dcterms:modified xsi:type="dcterms:W3CDTF">2024-02-15T14:52:53Z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