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3/Urban Ubomi 1/Investor Reports/2. August 2022/"/>
    </mc:Choice>
  </mc:AlternateContent>
  <xr:revisionPtr revIDLastSave="5" documentId="8_{5E05CCD7-636E-4D94-8F10-BF83238B1EC0}" xr6:coauthVersionLast="47" xr6:coauthVersionMax="47" xr10:uidLastSave="{E1E1F315-6497-4414-B15E-E6BF34817A09}"/>
  <bookViews>
    <workbookView xWindow="-120" yWindow="-120" windowWidth="29040" windowHeight="15840" xr2:uid="{3CC98EB2-BD20-4F7B-A241-98FB2F305094}"/>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 i="1" l="1"/>
  <c r="J105" i="1"/>
  <c r="G34" i="1" l="1"/>
  <c r="H34" i="1" l="1"/>
  <c r="G32" i="1"/>
  <c r="M29" i="1" l="1"/>
  <c r="L29" i="1"/>
  <c r="L30" i="1" s="1"/>
  <c r="K29" i="1"/>
  <c r="J29" i="1"/>
  <c r="I29" i="1"/>
  <c r="H29" i="1"/>
  <c r="H30" i="1" s="1"/>
  <c r="H36" i="1" s="1"/>
  <c r="K120" i="2"/>
  <c r="G120" i="2"/>
  <c r="M91" i="2"/>
  <c r="K92" i="2"/>
  <c r="M87" i="2"/>
  <c r="G92" i="2"/>
  <c r="I81" i="2"/>
  <c r="I80" i="2"/>
  <c r="G84" i="2"/>
  <c r="I58" i="2"/>
  <c r="L58" i="2"/>
  <c r="L54" i="2"/>
  <c r="I54" i="2"/>
  <c r="L63" i="2"/>
  <c r="L53" i="2" s="1"/>
  <c r="J45" i="2"/>
  <c r="J76" i="1"/>
  <c r="J38" i="2"/>
  <c r="J33" i="2"/>
  <c r="J29" i="2"/>
  <c r="S27" i="2"/>
  <c r="J11" i="2"/>
  <c r="J12" i="2" s="1"/>
  <c r="J8" i="2"/>
  <c r="I218" i="1"/>
  <c r="L210" i="1"/>
  <c r="I209" i="1"/>
  <c r="L209" i="1" s="1"/>
  <c r="I213" i="1" s="1"/>
  <c r="L208" i="1"/>
  <c r="I206" i="1"/>
  <c r="I200" i="1"/>
  <c r="I203" i="1" s="1"/>
  <c r="I194" i="1"/>
  <c r="I190" i="1"/>
  <c r="L185" i="1"/>
  <c r="L184" i="1"/>
  <c r="L183" i="1"/>
  <c r="L182" i="1"/>
  <c r="L179" i="1"/>
  <c r="L178" i="1"/>
  <c r="L177" i="1"/>
  <c r="L176" i="1"/>
  <c r="L175" i="1"/>
  <c r="F175" i="1"/>
  <c r="L174" i="1"/>
  <c r="L173" i="1"/>
  <c r="L172" i="1"/>
  <c r="L171" i="1"/>
  <c r="L170" i="1" s="1"/>
  <c r="F170" i="1"/>
  <c r="L169" i="1"/>
  <c r="L167" i="1"/>
  <c r="L166" i="1"/>
  <c r="L165" i="1"/>
  <c r="L164" i="1"/>
  <c r="L159" i="1"/>
  <c r="L158" i="1"/>
  <c r="L157" i="1"/>
  <c r="L154" i="1"/>
  <c r="L150" i="1"/>
  <c r="L149" i="1"/>
  <c r="L148" i="1"/>
  <c r="L147" i="1"/>
  <c r="L146" i="1"/>
  <c r="L144" i="1"/>
  <c r="F141" i="1"/>
  <c r="L141" i="1" s="1"/>
  <c r="F140" i="1"/>
  <c r="L140" i="1" s="1"/>
  <c r="L138" i="1"/>
  <c r="J87" i="1"/>
  <c r="J85" i="1"/>
  <c r="J84" i="1" s="1"/>
  <c r="J77" i="1"/>
  <c r="J75" i="1"/>
  <c r="J72" i="1"/>
  <c r="J69" i="1"/>
  <c r="J68" i="1"/>
  <c r="J67" i="1"/>
  <c r="J101" i="1" s="1"/>
  <c r="J63" i="1"/>
  <c r="J60" i="1"/>
  <c r="I49" i="1"/>
  <c r="N49" i="1"/>
  <c r="M49" i="1"/>
  <c r="L49" i="1"/>
  <c r="K49" i="1"/>
  <c r="J49" i="1"/>
  <c r="H49" i="1"/>
  <c r="G49" i="1"/>
  <c r="G47" i="1"/>
  <c r="I46" i="1"/>
  <c r="K46" i="1" s="1"/>
  <c r="K47" i="1" s="1"/>
  <c r="L40" i="1"/>
  <c r="K40" i="1"/>
  <c r="N40" i="1"/>
  <c r="M40" i="1"/>
  <c r="J40" i="1"/>
  <c r="I40" i="1"/>
  <c r="M32" i="1"/>
  <c r="J32" i="1"/>
  <c r="M30" i="1"/>
  <c r="J30" i="1"/>
  <c r="J36" i="1" s="1"/>
  <c r="K30" i="1"/>
  <c r="I30" i="1"/>
  <c r="G29" i="1"/>
  <c r="G208" i="1" s="1"/>
  <c r="N28" i="1"/>
  <c r="M28" i="1"/>
  <c r="L28" i="1"/>
  <c r="K28" i="1"/>
  <c r="J28" i="1"/>
  <c r="I28" i="1"/>
  <c r="H28" i="1"/>
  <c r="G28" i="1"/>
  <c r="J14" i="1"/>
  <c r="E208" i="1" s="1"/>
  <c r="J13" i="1"/>
  <c r="J15" i="1" s="1"/>
  <c r="J11" i="1"/>
  <c r="J10" i="1"/>
  <c r="J9" i="1"/>
  <c r="J8" i="1"/>
  <c r="H46" i="1" l="1"/>
  <c r="J46" i="1" s="1"/>
  <c r="J47" i="1" s="1"/>
  <c r="L145" i="1"/>
  <c r="F139" i="1"/>
  <c r="I47" i="1"/>
  <c r="J12" i="1"/>
  <c r="J37" i="1"/>
  <c r="J38" i="1" s="1"/>
  <c r="I90" i="2"/>
  <c r="I88" i="2"/>
  <c r="I91" i="2"/>
  <c r="I118" i="2"/>
  <c r="L34" i="1"/>
  <c r="I32" i="1"/>
  <c r="F142" i="1"/>
  <c r="L143" i="1"/>
  <c r="L142" i="1" s="1"/>
  <c r="I99" i="2"/>
  <c r="I114" i="2"/>
  <c r="I119" i="2"/>
  <c r="I117" i="2"/>
  <c r="I115" i="2"/>
  <c r="L36" i="1"/>
  <c r="F168" i="1"/>
  <c r="L168" i="1" s="1"/>
  <c r="J96" i="1"/>
  <c r="I53" i="2"/>
  <c r="M90" i="2"/>
  <c r="M88" i="2"/>
  <c r="M118" i="2"/>
  <c r="M116" i="2"/>
  <c r="M114" i="2"/>
  <c r="M119" i="2"/>
  <c r="M117" i="2"/>
  <c r="M115" i="2"/>
  <c r="M92" i="2"/>
  <c r="J16" i="1"/>
  <c r="M36" i="1" s="1"/>
  <c r="J56" i="1"/>
  <c r="F160" i="1"/>
  <c r="L160" i="1" s="1"/>
  <c r="J95" i="1"/>
  <c r="I82" i="2"/>
  <c r="I89" i="2"/>
  <c r="I116" i="2"/>
  <c r="H37" i="1"/>
  <c r="H38" i="1" s="1"/>
  <c r="J18" i="1"/>
  <c r="N29" i="1"/>
  <c r="N30" i="1" s="1"/>
  <c r="N36" i="1" s="1"/>
  <c r="N32" i="1"/>
  <c r="N34" i="1"/>
  <c r="M46" i="1"/>
  <c r="M47" i="1" s="1"/>
  <c r="J66" i="1"/>
  <c r="M89" i="2"/>
  <c r="K34" i="1"/>
  <c r="I36" i="1"/>
  <c r="L139" i="1"/>
  <c r="F145" i="1"/>
  <c r="I83" i="2"/>
  <c r="I97" i="2"/>
  <c r="I109" i="2"/>
  <c r="J83" i="1"/>
  <c r="K84" i="2"/>
  <c r="M83" i="2" s="1"/>
  <c r="G111" i="2"/>
  <c r="I101" i="2" s="1"/>
  <c r="J17" i="1"/>
  <c r="L32" i="1"/>
  <c r="I79" i="2"/>
  <c r="I84" i="2" s="1"/>
  <c r="I87" i="2"/>
  <c r="I92" i="2" s="1"/>
  <c r="K111" i="2"/>
  <c r="M107" i="2" s="1"/>
  <c r="G30" i="1"/>
  <c r="G36" i="1" s="1"/>
  <c r="H32" i="1"/>
  <c r="H47" i="1" l="1"/>
  <c r="L46" i="1"/>
  <c r="N46" i="1"/>
  <c r="N47" i="1" s="1"/>
  <c r="L47" i="1"/>
  <c r="J81" i="1"/>
  <c r="J102" i="1"/>
  <c r="J100" i="1" s="1"/>
  <c r="G37" i="1"/>
  <c r="G38" i="1" s="1"/>
  <c r="F152" i="1"/>
  <c r="F156" i="1"/>
  <c r="L156" i="1" s="1"/>
  <c r="M37" i="1"/>
  <c r="M38" i="1"/>
  <c r="I214" i="1"/>
  <c r="I95" i="2"/>
  <c r="M110" i="2"/>
  <c r="M108" i="2"/>
  <c r="M106" i="2"/>
  <c r="M104" i="2"/>
  <c r="M102" i="2"/>
  <c r="M100" i="2"/>
  <c r="M98" i="2"/>
  <c r="M96" i="2"/>
  <c r="M82" i="2"/>
  <c r="M103" i="2"/>
  <c r="I105" i="2"/>
  <c r="F153" i="1"/>
  <c r="L153" i="1" s="1"/>
  <c r="I37" i="1"/>
  <c r="I38" i="1" s="1"/>
  <c r="M99" i="2"/>
  <c r="M109" i="2"/>
  <c r="M95" i="2"/>
  <c r="K36" i="1"/>
  <c r="M105" i="2"/>
  <c r="M79" i="2"/>
  <c r="M84" i="2" s="1"/>
  <c r="L37" i="1"/>
  <c r="L38" i="1" s="1"/>
  <c r="I120" i="2"/>
  <c r="I34" i="1"/>
  <c r="M101" i="2"/>
  <c r="I110" i="2"/>
  <c r="I108" i="2"/>
  <c r="I106" i="2"/>
  <c r="I104" i="2"/>
  <c r="I102" i="2"/>
  <c r="I100" i="2"/>
  <c r="I98" i="2"/>
  <c r="I96" i="2"/>
  <c r="M80" i="2"/>
  <c r="M34" i="1"/>
  <c r="M120" i="2"/>
  <c r="J34" i="1"/>
  <c r="I107" i="2"/>
  <c r="M97" i="2"/>
  <c r="J93" i="1"/>
  <c r="J55" i="1"/>
  <c r="J26" i="2"/>
  <c r="N37" i="1"/>
  <c r="N38" i="1" s="1"/>
  <c r="M81" i="2"/>
  <c r="I103" i="2"/>
  <c r="J94" i="1"/>
  <c r="J99" i="1" l="1"/>
  <c r="I111" i="2"/>
  <c r="F181" i="1"/>
  <c r="F155" i="1"/>
  <c r="L155" i="1" s="1"/>
  <c r="K37" i="1"/>
  <c r="K38" i="1" s="1"/>
  <c r="M111" i="2"/>
  <c r="F151" i="1"/>
  <c r="L152" i="1"/>
  <c r="L151" i="1" s="1"/>
  <c r="J92" i="1"/>
  <c r="I110" i="1" l="1"/>
  <c r="F163" i="1"/>
  <c r="F180" i="1"/>
  <c r="L181" i="1"/>
  <c r="I138" i="1"/>
  <c r="G39" i="1" l="1"/>
  <c r="G40" i="1" s="1"/>
  <c r="L163" i="1"/>
  <c r="H39" i="1"/>
  <c r="H40" i="1" s="1"/>
  <c r="H41" i="1" s="1"/>
  <c r="F162" i="1"/>
  <c r="I139" i="1"/>
  <c r="I186" i="1"/>
  <c r="L186" i="1" s="1"/>
  <c r="N43" i="1"/>
  <c r="M43" i="1"/>
  <c r="J43" i="1"/>
  <c r="I43" i="1"/>
  <c r="G43" i="1"/>
  <c r="L43" i="1"/>
  <c r="H43" i="1"/>
  <c r="K43" i="1"/>
  <c r="I216" i="1"/>
  <c r="I217" i="1" s="1"/>
  <c r="I220" i="1" s="1"/>
  <c r="L180" i="1"/>
  <c r="F161" i="1" l="1"/>
  <c r="F186" i="1" s="1"/>
  <c r="L162" i="1"/>
  <c r="L161" i="1" s="1"/>
  <c r="N41" i="1"/>
  <c r="G41" i="1"/>
  <c r="I41" i="1"/>
  <c r="M41" i="1"/>
  <c r="K41" i="1"/>
  <c r="J19" i="1"/>
  <c r="L41" i="1"/>
  <c r="J41" i="1"/>
  <c r="I142" i="1"/>
  <c r="I145" i="1" s="1"/>
  <c r="I141" i="1"/>
  <c r="I140" i="1"/>
  <c r="I143" i="1" l="1"/>
  <c r="I144" i="1"/>
  <c r="I147" i="1" l="1"/>
  <c r="I149" i="1"/>
  <c r="I150" i="1" s="1"/>
  <c r="I151" i="1" s="1"/>
  <c r="I146" i="1"/>
  <c r="I148" i="1"/>
  <c r="I153" i="1" l="1"/>
  <c r="I155" i="1"/>
  <c r="I156" i="1" s="1"/>
  <c r="I152" i="1"/>
  <c r="I154" i="1"/>
  <c r="I160" i="1" l="1"/>
  <c r="I161" i="1" s="1"/>
  <c r="I157" i="1"/>
  <c r="I158" i="1" s="1"/>
  <c r="I159" i="1" l="1"/>
  <c r="I111" i="1"/>
  <c r="I112" i="1" s="1"/>
  <c r="I168" i="1"/>
  <c r="I169" i="1" s="1"/>
  <c r="I170" i="1" s="1"/>
  <c r="I162" i="1"/>
  <c r="I166" i="1"/>
  <c r="I164" i="1"/>
  <c r="I167" i="1"/>
  <c r="I163" i="1"/>
  <c r="I165" i="1"/>
  <c r="I173" i="1" l="1"/>
  <c r="I174" i="1" s="1"/>
  <c r="I175" i="1" s="1"/>
  <c r="I172" i="1"/>
  <c r="I171" i="1"/>
  <c r="I176" i="1" l="1"/>
  <c r="I177" i="1"/>
  <c r="I178" i="1" s="1"/>
  <c r="I179" i="1" s="1"/>
  <c r="I180" i="1" s="1"/>
  <c r="I185" i="1" l="1"/>
  <c r="I184" i="1"/>
  <c r="I181" i="1"/>
  <c r="I182" i="1" s="1"/>
  <c r="I1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tc={DA6F514A-8638-41FF-B7AC-F887E7242448}</author>
    <author>tc={CC2840BF-AA98-4A6D-8490-615CA2D25819}</author>
    <author>tc={8C5574C4-3BD3-4462-B226-E2020D606090}</author>
    <author>tc={7749B399-1936-4147-9F98-89FF0AFFF3FC}</author>
    <author>tc={39C7EABB-EA84-4658-A169-17263FFA5A9A}</author>
    <author>tc={5626D76C-2453-404D-9B38-72DF6E3D5CEE}</author>
    <author>tc={9355EA56-CB28-4CD1-BDD4-D597096ACA95}</author>
    <author>tc={DE450A2E-A297-4675-93F0-87A849970E0D}</author>
    <author>tc={3FF09FEC-5BA7-488C-8549-C4E3922659DD}</author>
    <author>tc={BF4A7D50-5CE4-40FB-92B7-C1C0EC1E3844}</author>
    <author>tc={39F59013-C96C-4707-9F16-410F757E6B7E}</author>
    <author>tc={217EE66D-1C5B-4F5D-9F09-C7416E59579F}</author>
    <author>tc={03EE91FA-4F3D-4EFC-B518-0062CD4A686A}</author>
    <author>tc={59A3C86D-562C-4701-8D1A-84F25FFE5145}</author>
    <author>tc={D6412838-C117-4C1D-BDDB-64279E404F23}</author>
    <author>tc={C210EB80-7FDD-46F1-8867-8D624DB155C8}</author>
    <author>tc={7EC12A7A-14A0-4CBD-A778-D8B1852B5F45}</author>
    <author>tc={DB7479F7-611E-40FE-8DE9-65CB35D83F5A}</author>
    <author>tc={CF7F3A6D-8906-4EAD-9411-03BC4DF888C0}</author>
    <author>tc={9AC28B81-DD40-46BC-9ED4-62E86C3ADCEB}</author>
    <author>tc={CB6F7F4E-A650-4C32-B80B-A9E8D407914C}</author>
    <author>tc={CB86EB98-7628-40F0-BD19-D7C796F0CCF2}</author>
    <author>tc={078CEBB8-9CEF-40E2-81B6-53E003F6E285}</author>
    <author>tc={10295943-FF24-4EE7-9609-F85F547E5E96}</author>
    <author>tc={CDB574C6-1644-4229-A159-82B02EB5FF3B}</author>
    <author>tc={4A57ABD8-2E7E-498B-BDE5-FCDF0EFBF691}</author>
    <author>tc={2D537A94-627E-4D5F-8080-365E55CF366A}</author>
    <author>tc={8F6C8853-9153-4345-B894-4136407932FE}</author>
    <author>tc={C89AF756-FB6B-4D4F-A67E-717752C4EB8C}</author>
    <author>tc={600CB371-13CC-4712-AA2F-0CCA87134C72}</author>
    <author>tc={A7610BA7-642D-4148-B0E0-C5EE32E8A8BD}</author>
    <author>tc={6174AECB-AB8F-4D96-8ED9-C09958E13692}</author>
    <author>tc={1A22FB0A-27A6-4E9F-85C7-79743F1CAB98}</author>
    <author>tc={2D43A1B5-AE17-4467-93E0-3516D9DC74E4}</author>
    <author>tc={D5B4696F-1A99-4057-A02D-E48B8C6E4DAC}</author>
    <author>tc={58DFF5F4-202A-4B18-BD1A-1F2EC71DED23}</author>
    <author>tc={4FEA78EF-8392-46A4-9822-0627308AA969}</author>
    <author>tc={4B37E2BC-E2A8-4566-B3EC-3B1F15CFF24E}</author>
    <author>tc={569CB644-6A6F-40AD-9926-0939BFE7BCAE}</author>
    <author>tc={C4683E6B-D16A-428B-8960-8ABF2EEFEED5}</author>
  </authors>
  <commentList>
    <comment ref="C8" authorId="0" shapeId="0" xr:uid="{DA6F514A-8638-41FF-B7AC-F887E7242448}">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CC2840BF-AA98-4A6D-8490-615CA2D25819}">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8C5574C4-3BD3-4462-B226-E2020D606090}">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7749B399-1936-4147-9F98-89FF0AFFF3FC}">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39C7EABB-EA84-4658-A169-17263FFA5A9A}">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5626D76C-2453-404D-9B38-72DF6E3D5CEE}">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1" authorId="6" shapeId="0" xr:uid="{9355EA56-CB28-4CD1-BDD4-D597096ACA95}">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99" authorId="7" shapeId="0" xr:uid="{DE450A2E-A297-4675-93F0-87A849970E0D}">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2" authorId="8" shapeId="0" xr:uid="{3FF09FEC-5BA7-488C-8549-C4E3922659DD}">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6" authorId="9" shapeId="0" xr:uid="{BF4A7D50-5CE4-40FB-92B7-C1C0EC1E3844}">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7" authorId="10" shapeId="0" xr:uid="{39F59013-C96C-4707-9F16-410F757E6B7E}">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3" authorId="11" shapeId="0" xr:uid="{217EE66D-1C5B-4F5D-9F09-C7416E59579F}">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2" authorId="12" shapeId="0" xr:uid="{03EE91FA-4F3D-4EFC-B518-0062CD4A686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4" authorId="13" shapeId="0" xr:uid="{59A3C86D-562C-4701-8D1A-84F25FFE5145}">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8" authorId="14" shapeId="0" xr:uid="{D6412838-C117-4C1D-BDDB-64279E404F23}">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9" authorId="15" shapeId="0" xr:uid="{C210EB80-7FDD-46F1-8867-8D624DB155C8}">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2" authorId="16" shapeId="0" xr:uid="{7EC12A7A-14A0-4CBD-A778-D8B1852B5F45}">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5" authorId="17" shapeId="0" xr:uid="{DB7479F7-611E-40FE-8DE9-65CB35D83F5A}">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9" authorId="18" shapeId="0" xr:uid="{CF7F3A6D-8906-4EAD-9411-03BC4DF888C0}">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0" authorId="19" shapeId="0" xr:uid="{9AC28B81-DD40-46BC-9ED4-62E86C3ADCEB}">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1" authorId="20" shapeId="0" xr:uid="{CB6F7F4E-A650-4C32-B80B-A9E8D407914C}">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5" authorId="21" shapeId="0" xr:uid="{CB86EB98-7628-40F0-BD19-D7C796F0CCF2}">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6" authorId="22" shapeId="0" xr:uid="{078CEBB8-9CEF-40E2-81B6-53E003F6E285}">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7" authorId="23" shapeId="0" xr:uid="{10295943-FF24-4EE7-9609-F85F547E5E96}">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8" authorId="24" shapeId="0" xr:uid="{CDB574C6-1644-4229-A159-82B02EB5FF3B}">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9" authorId="25" shapeId="0" xr:uid="{4A57ABD8-2E7E-498B-BDE5-FCDF0EFBF691}">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0" authorId="26" shapeId="0" xr:uid="{2D537A94-627E-4D5F-8080-365E55CF366A}">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1" authorId="27" shapeId="0" xr:uid="{8F6C8853-9153-4345-B894-4136407932FE}">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8" authorId="28" shapeId="0" xr:uid="{C89AF756-FB6B-4D4F-A67E-717752C4EB8C}">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9" authorId="29" shapeId="0" xr:uid="{600CB371-13CC-4712-AA2F-0CCA87134C72}">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0" authorId="30" shapeId="0" xr:uid="{A7610BA7-642D-4148-B0E0-C5EE32E8A8BD}">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3" authorId="31" shapeId="0" xr:uid="{6174AECB-AB8F-4D96-8ED9-C09958E13692}">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4" authorId="32" shapeId="0" xr:uid="{1A22FB0A-27A6-4E9F-85C7-79743F1CAB98}">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5" authorId="33" shapeId="0" xr:uid="{2D43A1B5-AE17-4467-93E0-3516D9DC74E4}">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7" authorId="34" shapeId="0" xr:uid="{D5B4696F-1A99-4057-A02D-E48B8C6E4DAC}">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8" authorId="35" shapeId="0" xr:uid="{58DFF5F4-202A-4B18-BD1A-1F2EC71DED23}">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9" authorId="36" shapeId="0" xr:uid="{4FEA78EF-8392-46A4-9822-0627308AA969}">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0" authorId="37" shapeId="0" xr:uid="{4B37E2BC-E2A8-4566-B3EC-3B1F15CFF24E}">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4" authorId="38" shapeId="0" xr:uid="{569CB644-6A6F-40AD-9926-0939BFE7BCAE}">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5" authorId="39" shapeId="0" xr:uid="{C4683E6B-D16A-428B-8960-8ABF2EEFEED5}">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<sst xmlns="http://schemas.openxmlformats.org/spreadsheetml/2006/main" count="398" uniqueCount="340">
  <si>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</si>
  <si>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</si>
  <si>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</si>
  <si>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</si>
  <si>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</si>
  <si>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</si>
  <si>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</si>
  <si>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</si>
  <si>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</si>
  <si>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</si>
  <si>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</si>
  <si>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</si>
  <si>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</si>
  <si>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</si>
  <si>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</si>
  <si>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</si>
  <si>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</si>
  <si>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</si>
  <si>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</si>
  <si>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</si>
  <si>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</si>
  <si>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</si>
  <si>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A2</t>
  </si>
  <si>
    <t>Class A5</t>
  </si>
  <si>
    <t>Class B</t>
  </si>
  <si>
    <t>Class C</t>
  </si>
  <si>
    <t>ISIN Code</t>
  </si>
  <si>
    <t>ZAG000175001</t>
  </si>
  <si>
    <t>ZAG000183567</t>
  </si>
  <si>
    <t>ZAG000175019</t>
  </si>
  <si>
    <t>ZAG000183542</t>
  </si>
  <si>
    <t>ZAG000175035</t>
  </si>
  <si>
    <t>ZAG000183591</t>
  </si>
  <si>
    <t>ZAG000175043</t>
  </si>
  <si>
    <t>ZAG000183609</t>
  </si>
  <si>
    <t>JSE Listing Code</t>
  </si>
  <si>
    <t>UU1A01</t>
  </si>
  <si>
    <t>UU1A04</t>
  </si>
  <si>
    <t>UU1A02</t>
  </si>
  <si>
    <t>UU1A05</t>
  </si>
  <si>
    <t>UU1B01</t>
  </si>
  <si>
    <t>UU1C01</t>
  </si>
  <si>
    <t>UU1C02</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</si>
  <si>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</si>
  <si>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</si>
  <si>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</si>
  <si>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</si>
  <si>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</si>
  <si>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</si>
  <si>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</si>
  <si>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</si>
  <si>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</si>
  <si>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</si>
  <si>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</si>
  <si>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</si>
  <si>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</si>
  <si>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</si>
  <si>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</si>
  <si>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</si>
  <si>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</si>
  <si>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</si>
  <si>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</si>
  <si>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</si>
  <si>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</si>
  <si>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</si>
  <si>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</si>
  <si>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</si>
  <si>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</si>
  <si>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</si>
  <si>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</si>
  <si>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</si>
  <si>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</si>
  <si>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</si>
  <si>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</si>
  <si>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</si>
  <si>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</si>
  <si>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</si>
  <si>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</si>
  <si>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</si>
  <si>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</si>
  <si>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</si>
  <si>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</si>
  <si>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</si>
  <si>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</si>
  <si>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</si>
  <si>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</si>
  <si>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</si>
  <si>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</si>
  <si>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</si>
  <si>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</si>
  <si>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</si>
  <si>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</si>
  <si>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</si>
  <si>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</si>
  <si>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</si>
  <si>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</si>
  <si>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</si>
  <si>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</si>
  <si>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</si>
  <si>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</si>
  <si>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</si>
  <si>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</si>
  <si>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</si>
  <si>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</si>
  <si>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</si>
  <si>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</si>
  <si>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</si>
  <si>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</si>
  <si>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</si>
  <si>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</si>
  <si>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</si>
  <si>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</si>
  <si>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</si>
  <si>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</si>
  <si>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</si>
  <si>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</si>
  <si>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</si>
  <si>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</si>
  <si>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</si>
  <si>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</si>
  <si>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</si>
  <si>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</si>
  <si>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</si>
  <si>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</si>
  <si>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</si>
  <si>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</si>
  <si>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</si>
  <si>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</si>
  <si>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</si>
  <si>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</si>
  <si>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</si>
  <si>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</si>
  <si>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</si>
  <si>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</si>
  <si>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</si>
  <si>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</si>
  <si>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</si>
  <si>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</si>
  <si>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</si>
  <si>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</si>
  <si>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</si>
  <si>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</si>
  <si>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</si>
  <si>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</si>
  <si>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</si>
  <si>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</si>
  <si>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</si>
  <si>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</si>
  <si>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</si>
  <si>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</si>
  <si>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</si>
  <si>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</si>
  <si>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</si>
  <si>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</si>
  <si>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</si>
  <si>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</si>
  <si>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</si>
  <si>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</si>
  <si>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</si>
  <si>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</si>
  <si>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</si>
  <si>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</si>
  <si>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</si>
  <si>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</si>
  <si>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</si>
  <si>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</si>
  <si>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</si>
  <si>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</si>
  <si>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</si>
  <si>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&amp; Class A4</t>
  </si>
  <si>
    <t>6.2. Class A2 &amp; Class A5</t>
  </si>
  <si>
    <t>6.3. Class A3</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</si>
  <si>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</si>
  <si>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</si>
  <si>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</si>
  <si>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</si>
  <si>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</si>
  <si>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</si>
  <si>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</si>
  <si>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</si>
  <si>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&amp; Class A4</t>
  </si>
  <si>
    <t>Class A2 &amp; Class A5</t>
  </si>
  <si>
    <t>Class A3</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</si>
  <si>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</si>
  <si>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</si>
  <si>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</si>
  <si>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</si>
  <si>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</si>
  <si>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</si>
  <si>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</si>
  <si>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</si>
  <si>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</si>
  <si>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</si>
  <si>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</si>
  <si>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</si>
  <si>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</si>
  <si>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</si>
  <si>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</si>
  <si>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</si>
  <si>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</si>
  <si>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</si>
  <si>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</si>
  <si>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</si>
  <si>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</si>
  <si>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</si>
  <si>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</si>
  <si>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</si>
  <si>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</si>
  <si>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</si>
  <si>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</si>
  <si>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</si>
  <si>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</si>
  <si>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</si>
  <si>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</si>
  <si>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</si>
  <si>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</si>
  <si>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</si>
  <si>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</si>
  <si>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</si>
  <si>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</si>
  <si>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</si>
  <si>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</si>
  <si>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</si>
  <si>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</si>
  <si>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</si>
  <si>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</si>
  <si>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</si>
  <si>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</si>
  <si>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</si>
  <si>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</si>
  <si>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</si>
  <si>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</si>
  <si>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</si>
  <si>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</si>
  <si>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</si>
  <si>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</si>
  <si>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</si>
  <si>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</si>
  <si>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</si>
  <si>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</si>
  <si>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</si>
  <si>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</si>
  <si>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</si>
  <si>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</si>
  <si>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</si>
  <si>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</si>
  <si>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</si>
  <si>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</si>
  <si>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</si>
  <si>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</si>
  <si>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</si>
  <si>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</si>
  <si>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</si>
  <si>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</si>
  <si>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</si>
  <si>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</si>
  <si>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</si>
  <si>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</si>
  <si>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</si>
  <si>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</si>
  <si>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</si>
  <si>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</si>
  <si>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</si>
  <si>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</si>
  <si>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</si>
  <si>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</si>
  <si>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</si>
  <si>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</si>
  <si>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</si>
  <si>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</si>
  <si>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</si>
  <si>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</si>
  <si>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</si>
  <si>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</si>
  <si>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</si>
  <si>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</si>
  <si>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</si>
  <si>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</si>
  <si>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</si>
  <si>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</si>
  <si>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</si>
  <si>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</si>
  <si>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</si>
  <si>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</si>
  <si>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</si>
  <si>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</si>
  <si>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</si>
  <si>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</si>
  <si>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</si>
  <si>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</si>
  <si>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</si>
  <si>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</si>
  <si>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</si>
  <si>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</si>
  <si>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</si>
  <si>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</si>
  <si>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</si>
  <si>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</si>
  <si>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</si>
  <si>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</si>
  <si>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</si>
  <si>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</si>
  <si>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</si>
  <si>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</si>
  <si>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</si>
  <si>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</si>
  <si>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</si>
  <si>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</si>
  <si>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</si>
  <si>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</si>
  <si>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</si>
  <si>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</si>
  <si>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</si>
  <si>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</si>
  <si>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</si>
  <si>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</si>
  <si>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</si>
  <si>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</si>
  <si>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</si>
  <si>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</si>
  <si>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</si>
  <si>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</si>
  <si>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</si>
  <si>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</si>
  <si>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</si>
  <si>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</si>
  <si>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</si>
  <si>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</si>
  <si>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</si>
  <si>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</si>
  <si>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</si>
  <si>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</si>
  <si>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</si>
  <si>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</si>
  <si>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</si>
  <si>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</si>
  <si>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</si>
  <si>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Total Principal Collections during CP</t>
  </si>
  <si>
    <t>Repayments and Prepayments</t>
  </si>
  <si>
    <t>Proceeds from the sale of Participating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</si>
</sst>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 #,##0_-;_-* &quot;-&quot;??_-;_-@_-"/>
    <numFmt numFmtId="166" formatCode="_(* #,##0_);_(* \(#,##0\);_(* &quot;-&quot;??_);_(@_)"/>
    <numFmt numFmtId="167" formatCode="0.000%"/>
    <numFmt numFmtId="168" formatCode="_ * #,##0.00_ ;_ * \-#,##0.00_ ;_ * &quot;-&quot;??_ ;_ @_ "/>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i/>
      <sz val="11"/>
      <color rgb="FFFF0000"/>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sz val="11"/>
      <color theme="1"/>
      <name val="Calibri"/>
      <family val="2"/>
    </font>
    <font>
      <b/>
      <sz val="11"/>
      <color theme="1"/>
      <name val="Calibri"/>
      <family val="2"/>
    </font>
    <font>
      <sz val="1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5" fillId="0" borderId="0"/>
    <xf numFmtId="168" fontId="1" fillId="0" borderId="0" applyFont="0" applyFill="0" applyBorder="0" applyAlignment="0" applyProtection="0"/>
  </cellStyleXfs>
  <cellXfs count="452">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23"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7" xfId="0" applyFont="1" applyFill="1" applyBorder="1"/>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29" xfId="0" applyFont="1" applyFill="1" applyBorder="1" applyAlignment="1">
      <alignment horizontal="left" vertical="center"/>
    </xf>
    <xf numFmtId="165" fontId="0" fillId="2" borderId="0" xfId="0" applyNumberFormat="1" applyFill="1"/>
    <xf numFmtId="0" fontId="2" fillId="5" borderId="6" xfId="0" applyFont="1" applyFill="1" applyBorder="1"/>
    <xf numFmtId="0" fontId="2" fillId="5" borderId="7" xfId="0" applyFont="1" applyFill="1" applyBorder="1"/>
    <xf numFmtId="0" fontId="0" fillId="5" borderId="28" xfId="0" applyFill="1" applyBorder="1"/>
    <xf numFmtId="0" fontId="2" fillId="5" borderId="20" xfId="0" applyFont="1" applyFill="1" applyBorder="1"/>
    <xf numFmtId="0" fontId="2" fillId="5" borderId="34" xfId="0" applyFont="1" applyFill="1" applyBorder="1"/>
    <xf numFmtId="0" fontId="2" fillId="5" borderId="4" xfId="0" applyFont="1" applyFill="1" applyBorder="1"/>
    <xf numFmtId="0" fontId="0" fillId="5" borderId="0" xfId="0" applyFill="1"/>
    <xf numFmtId="0" fontId="0" fillId="3" borderId="25" xfId="0" applyFill="1" applyBorder="1" applyAlignment="1">
      <alignment horizontal="center"/>
    </xf>
    <xf numFmtId="0" fontId="0" fillId="3" borderId="20" xfId="0" applyFill="1" applyBorder="1" applyAlignment="1">
      <alignment horizontal="center"/>
    </xf>
    <xf numFmtId="0" fontId="6" fillId="3" borderId="34" xfId="0" applyFont="1" applyFill="1" applyBorder="1" applyAlignment="1">
      <alignment horizontal="center"/>
    </xf>
    <xf numFmtId="0" fontId="0" fillId="3" borderId="34" xfId="0" applyFill="1" applyBorder="1" applyAlignment="1">
      <alignment horizontal="center"/>
    </xf>
    <xf numFmtId="10" fontId="5" fillId="3" borderId="25" xfId="0" applyNumberFormat="1" applyFont="1" applyFill="1" applyBorder="1"/>
    <xf numFmtId="10" fontId="5" fillId="3" borderId="25" xfId="2" applyNumberFormat="1" applyFont="1" applyFill="1" applyBorder="1" applyAlignment="1"/>
    <xf numFmtId="10" fontId="5" fillId="3" borderId="20" xfId="2" applyNumberFormat="1" applyFont="1" applyFill="1" applyBorder="1" applyAlignment="1"/>
    <xf numFmtId="10" fontId="5" fillId="3" borderId="34" xfId="2" applyNumberFormat="1" applyFont="1" applyFill="1" applyBorder="1" applyAlignment="1"/>
    <xf numFmtId="165" fontId="5" fillId="3" borderId="25" xfId="1" applyNumberFormat="1" applyFont="1" applyFill="1" applyBorder="1" applyAlignment="1"/>
    <xf numFmtId="165" fontId="5" fillId="3" borderId="20" xfId="1" applyNumberFormat="1" applyFont="1" applyFill="1" applyBorder="1" applyAlignment="1"/>
    <xf numFmtId="165" fontId="5" fillId="3" borderId="34" xfId="1" applyNumberFormat="1" applyFont="1" applyFill="1" applyBorder="1" applyAlignment="1"/>
    <xf numFmtId="0" fontId="0" fillId="5" borderId="29" xfId="0" applyFill="1" applyBorder="1" applyAlignment="1">
      <alignment horizontal="left" indent="1"/>
    </xf>
    <xf numFmtId="10" fontId="7" fillId="3" borderId="34" xfId="2" applyNumberFormat="1" applyFont="1" applyFill="1" applyBorder="1" applyAlignment="1"/>
    <xf numFmtId="165" fontId="7" fillId="3" borderId="25" xfId="1" applyNumberFormat="1" applyFont="1" applyFill="1" applyBorder="1" applyAlignment="1"/>
    <xf numFmtId="165" fontId="7" fillId="3" borderId="20" xfId="1" applyNumberFormat="1" applyFont="1" applyFill="1" applyBorder="1" applyAlignment="1"/>
    <xf numFmtId="165" fontId="7" fillId="3" borderId="34" xfId="1" applyNumberFormat="1" applyFont="1" applyFill="1" applyBorder="1" applyAlignment="1"/>
    <xf numFmtId="10" fontId="7" fillId="3" borderId="25" xfId="2" applyNumberFormat="1" applyFont="1" applyFill="1" applyBorder="1" applyAlignment="1"/>
    <xf numFmtId="10" fontId="7" fillId="3" borderId="20" xfId="2" applyNumberFormat="1" applyFont="1" applyFill="1" applyBorder="1" applyAlignment="1"/>
    <xf numFmtId="0" fontId="0" fillId="5" borderId="4" xfId="0" applyFill="1" applyBorder="1" applyAlignment="1">
      <alignment horizontal="left" indent="1"/>
    </xf>
    <xf numFmtId="15" fontId="7" fillId="3" borderId="25" xfId="0" applyNumberFormat="1" applyFont="1" applyFill="1" applyBorder="1"/>
    <xf numFmtId="15" fontId="7" fillId="3" borderId="20" xfId="0" applyNumberFormat="1" applyFont="1" applyFill="1" applyBorder="1"/>
    <xf numFmtId="15" fontId="7" fillId="3" borderId="21" xfId="0" applyNumberFormat="1" applyFont="1" applyFill="1" applyBorder="1"/>
    <xf numFmtId="0" fontId="5" fillId="3" borderId="25" xfId="0" applyFont="1" applyFill="1" applyBorder="1" applyAlignment="1">
      <alignment horizontal="center"/>
    </xf>
    <xf numFmtId="0" fontId="5" fillId="3" borderId="20" xfId="0" applyFont="1" applyFill="1" applyBorder="1" applyAlignment="1">
      <alignment horizontal="center"/>
    </xf>
    <xf numFmtId="0" fontId="5" fillId="3" borderId="34" xfId="0" applyFont="1" applyFill="1" applyBorder="1" applyAlignment="1">
      <alignment horizontal="center"/>
    </xf>
    <xf numFmtId="0" fontId="2" fillId="5" borderId="35" xfId="0" applyFont="1" applyFill="1" applyBorder="1"/>
    <xf numFmtId="0" fontId="0" fillId="5" borderId="36" xfId="0" applyFill="1" applyBorder="1"/>
    <xf numFmtId="0" fontId="5" fillId="3" borderId="37" xfId="0" applyFont="1" applyFill="1" applyBorder="1" applyAlignment="1">
      <alignment horizontal="center"/>
    </xf>
    <xf numFmtId="0" fontId="5" fillId="3" borderId="32" xfId="0" applyFont="1" applyFill="1" applyBorder="1" applyAlignment="1">
      <alignment horizontal="center"/>
    </xf>
    <xf numFmtId="0" fontId="5" fillId="3" borderId="38" xfId="0" applyFont="1" applyFill="1" applyBorder="1" applyAlignment="1">
      <alignment horizontal="center"/>
    </xf>
    <xf numFmtId="4" fontId="0" fillId="2" borderId="0" xfId="0" applyNumberFormat="1" applyFill="1"/>
    <xf numFmtId="0" fontId="2" fillId="5" borderId="22" xfId="0" applyFont="1" applyFill="1" applyBorder="1"/>
    <xf numFmtId="0" fontId="0" fillId="5" borderId="23" xfId="0" applyFill="1" applyBorder="1"/>
    <xf numFmtId="0" fontId="0" fillId="5" borderId="24" xfId="0" applyFill="1" applyBorder="1"/>
    <xf numFmtId="43" fontId="0" fillId="2" borderId="0" xfId="0" applyNumberFormat="1" applyFill="1"/>
    <xf numFmtId="0" fontId="0" fillId="5" borderId="30" xfId="0" applyFill="1" applyBorder="1"/>
    <xf numFmtId="165" fontId="1" fillId="3" borderId="5" xfId="1" applyNumberFormat="1" applyFont="1" applyFill="1" applyBorder="1" applyAlignment="1"/>
    <xf numFmtId="0" fontId="0" fillId="5" borderId="26" xfId="0" applyFill="1" applyBorder="1"/>
    <xf numFmtId="0" fontId="0" fillId="5" borderId="17" xfId="0" applyFill="1" applyBorder="1" applyAlignment="1">
      <alignment horizontal="left" indent="1"/>
    </xf>
    <xf numFmtId="0" fontId="0" fillId="5" borderId="18" xfId="0" applyFill="1" applyBorder="1"/>
    <xf numFmtId="0" fontId="0" fillId="5" borderId="19" xfId="0" applyFill="1" applyBorder="1"/>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0" fillId="3" borderId="42" xfId="1" applyNumberFormat="1" applyFont="1" applyFill="1" applyBorder="1" applyAlignment="1"/>
    <xf numFmtId="0" fontId="2" fillId="5" borderId="22" xfId="0" applyFont="1" applyFill="1" applyBorder="1" applyAlignment="1">
      <alignment horizontal="left"/>
    </xf>
    <xf numFmtId="165" fontId="0" fillId="2" borderId="0" xfId="1" applyNumberFormat="1" applyFont="1" applyFill="1"/>
    <xf numFmtId="165" fontId="1" fillId="3" borderId="5" xfId="1" applyNumberFormat="1" applyFont="1" applyFill="1" applyBorder="1" applyAlignment="1">
      <alignment horizontal="right"/>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 fillId="3" borderId="42"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0" fontId="0" fillId="3" borderId="8" xfId="0" applyFill="1" applyBorder="1"/>
    <xf numFmtId="0" fontId="0" fillId="3" borderId="0" xfId="0" applyFill="1" applyAlignment="1">
      <alignment horizontal="left" indent="1"/>
    </xf>
    <xf numFmtId="164" fontId="0" fillId="2" borderId="0" xfId="1" applyFont="1" applyFill="1"/>
    <xf numFmtId="0" fontId="9" fillId="5" borderId="23" xfId="0" applyFont="1" applyFill="1" applyBorder="1" applyAlignment="1">
      <alignment horizontal="center"/>
    </xf>
    <xf numFmtId="0" fontId="9" fillId="5" borderId="24" xfId="0" applyFont="1" applyFill="1" applyBorder="1" applyAlignment="1">
      <alignment horizontal="center"/>
    </xf>
    <xf numFmtId="165" fontId="0" fillId="3" borderId="5" xfId="0" applyNumberFormat="1" applyFill="1" applyBorder="1"/>
    <xf numFmtId="164" fontId="2" fillId="2" borderId="0" xfId="1" applyFont="1" applyFill="1"/>
    <xf numFmtId="0" fontId="0" fillId="5" borderId="44" xfId="0" applyFill="1" applyBorder="1"/>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5" borderId="17" xfId="0" applyFont="1" applyFill="1" applyBorder="1" applyAlignment="1">
      <alignment horizontal="left"/>
    </xf>
    <xf numFmtId="0" fontId="2" fillId="5" borderId="29" xfId="0" applyFont="1" applyFill="1" applyBorder="1" applyAlignment="1">
      <alignment horizontal="left"/>
    </xf>
    <xf numFmtId="0" fontId="2" fillId="5" borderId="6" xfId="0" applyFont="1" applyFill="1" applyBorder="1" applyAlignment="1">
      <alignment horizontal="left"/>
    </xf>
    <xf numFmtId="0" fontId="2" fillId="5" borderId="44" xfId="0" applyFont="1" applyFill="1" applyBorder="1"/>
    <xf numFmtId="0" fontId="9" fillId="7" borderId="4" xfId="0" applyFont="1" applyFill="1" applyBorder="1" applyAlignment="1">
      <alignment horizontal="center"/>
    </xf>
    <xf numFmtId="0" fontId="9" fillId="7" borderId="0" xfId="0" applyFont="1" applyFill="1" applyAlignment="1">
      <alignment horizontal="center"/>
    </xf>
    <xf numFmtId="0" fontId="5" fillId="3" borderId="5" xfId="0" applyFont="1" applyFill="1" applyBorder="1"/>
    <xf numFmtId="0" fontId="0" fillId="5" borderId="22" xfId="0" applyFill="1" applyBorder="1" applyAlignment="1">
      <alignment horizontal="left" indent="1"/>
    </xf>
    <xf numFmtId="0" fontId="2" fillId="5" borderId="24" xfId="0" applyFont="1" applyFill="1" applyBorder="1" applyAlignment="1">
      <alignment horizontal="right"/>
    </xf>
    <xf numFmtId="0" fontId="2" fillId="3" borderId="40" xfId="0" applyFont="1" applyFill="1" applyBorder="1" applyAlignment="1">
      <alignment horizontal="right"/>
    </xf>
    <xf numFmtId="0" fontId="2" fillId="5" borderId="26" xfId="0" applyFont="1" applyFill="1" applyBorder="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5" borderId="19" xfId="0" applyFont="1" applyFill="1" applyBorder="1" applyAlignment="1">
      <alignment horizontal="right"/>
    </xf>
    <xf numFmtId="0" fontId="2" fillId="5" borderId="44" xfId="0" applyFont="1" applyFill="1" applyBorder="1" applyAlignment="1">
      <alignment horizontal="right"/>
    </xf>
    <xf numFmtId="165" fontId="5" fillId="3" borderId="0"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42" xfId="1" applyNumberFormat="1" applyFont="1" applyFill="1" applyBorder="1" applyAlignment="1">
      <alignment horizontal="center"/>
    </xf>
    <xf numFmtId="165" fontId="5" fillId="3" borderId="19" xfId="1" applyNumberFormat="1" applyFont="1" applyFill="1" applyBorder="1" applyAlignment="1">
      <alignment horizontal="right"/>
    </xf>
    <xf numFmtId="165" fontId="5" fillId="3" borderId="42"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5" xfId="1" applyNumberFormat="1" applyFont="1" applyFill="1" applyBorder="1" applyAlignment="1">
      <alignment horizontal="right"/>
    </xf>
    <xf numFmtId="0" fontId="2" fillId="7" borderId="35" xfId="0" applyFont="1" applyFill="1" applyBorder="1" applyAlignment="1">
      <alignment horizontal="left"/>
    </xf>
    <xf numFmtId="0" fontId="0" fillId="7" borderId="36" xfId="0" applyFill="1" applyBorder="1"/>
    <xf numFmtId="0" fontId="0" fillId="7" borderId="45" xfId="0" applyFill="1" applyBorder="1"/>
    <xf numFmtId="0" fontId="9" fillId="5" borderId="28" xfId="0" applyFont="1" applyFill="1" applyBorder="1" applyAlignment="1">
      <alignment horizontal="center"/>
    </xf>
    <xf numFmtId="0" fontId="9" fillId="5" borderId="30" xfId="0" applyFont="1" applyFill="1" applyBorder="1" applyAlignment="1">
      <alignment horizontal="center"/>
    </xf>
    <xf numFmtId="0" fontId="2" fillId="5" borderId="35" xfId="0" applyFont="1" applyFill="1" applyBorder="1" applyAlignment="1">
      <alignment horizontal="left"/>
    </xf>
    <xf numFmtId="0" fontId="9" fillId="5" borderId="36" xfId="0" applyFont="1" applyFill="1" applyBorder="1" applyAlignment="1">
      <alignment horizontal="center"/>
    </xf>
    <xf numFmtId="0" fontId="9" fillId="5" borderId="45" xfId="0" applyFont="1" applyFill="1" applyBorder="1" applyAlignment="1">
      <alignment horizontal="center"/>
    </xf>
    <xf numFmtId="0" fontId="2" fillId="3" borderId="0" xfId="0" applyFont="1" applyFill="1" applyAlignment="1">
      <alignment horizontal="left"/>
    </xf>
    <xf numFmtId="0" fontId="9" fillId="3" borderId="0" xfId="0" applyFont="1" applyFill="1" applyAlignment="1">
      <alignment horizontal="center"/>
    </xf>
    <xf numFmtId="0" fontId="8" fillId="3" borderId="0" xfId="0" applyFont="1" applyFill="1" applyAlignment="1">
      <alignment horizontal="right"/>
    </xf>
    <xf numFmtId="0" fontId="2" fillId="5" borderId="30" xfId="0" applyFont="1" applyFill="1" applyBorder="1" applyAlignment="1">
      <alignment horizontal="center"/>
    </xf>
    <xf numFmtId="0" fontId="2" fillId="5" borderId="28" xfId="0" applyFont="1" applyFill="1" applyBorder="1" applyAlignment="1">
      <alignment horizontal="center"/>
    </xf>
    <xf numFmtId="0" fontId="2" fillId="5" borderId="23" xfId="0" applyFont="1" applyFill="1" applyBorder="1"/>
    <xf numFmtId="0" fontId="6" fillId="5" borderId="23" xfId="0" applyFont="1" applyFill="1" applyBorder="1"/>
    <xf numFmtId="0" fontId="6" fillId="5" borderId="24" xfId="0" applyFont="1" applyFill="1" applyBorder="1"/>
    <xf numFmtId="10" fontId="0" fillId="2" borderId="0" xfId="0" applyNumberFormat="1" applyFill="1"/>
    <xf numFmtId="0" fontId="9" fillId="5" borderId="7" xfId="0" applyFont="1" applyFill="1" applyBorder="1" applyAlignment="1">
      <alignment horizontal="center"/>
    </xf>
    <xf numFmtId="0" fontId="9" fillId="5" borderId="44" xfId="0" applyFont="1" applyFill="1" applyBorder="1" applyAlignment="1">
      <alignment horizontal="center"/>
    </xf>
    <xf numFmtId="0" fontId="0" fillId="3" borderId="6" xfId="0" applyFill="1" applyBorder="1"/>
    <xf numFmtId="0" fontId="0" fillId="3" borderId="7" xfId="0" applyFill="1" applyBorder="1"/>
    <xf numFmtId="0" fontId="2" fillId="2" borderId="0" xfId="0" applyFont="1" applyFill="1"/>
    <xf numFmtId="166" fontId="0" fillId="2" borderId="0" xfId="0" applyNumberFormat="1" applyFill="1"/>
    <xf numFmtId="164" fontId="0" fillId="2" borderId="0" xfId="0" applyNumberFormat="1" applyFill="1"/>
    <xf numFmtId="16" fontId="0" fillId="2" borderId="0" xfId="0" applyNumberFormat="1" applyFill="1"/>
    <xf numFmtId="0" fontId="2" fillId="5" borderId="4" xfId="0" applyFont="1" applyFill="1" applyBorder="1" applyAlignment="1">
      <alignment horizontal="left" vertical="center"/>
    </xf>
    <xf numFmtId="0" fontId="2" fillId="5" borderId="36" xfId="0" applyFont="1" applyFill="1" applyBorder="1"/>
    <xf numFmtId="0" fontId="0" fillId="5" borderId="23"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4" xfId="0" applyFill="1" applyBorder="1" applyAlignment="1">
      <alignment horizontal="left"/>
    </xf>
    <xf numFmtId="165" fontId="6" fillId="3" borderId="5" xfId="1" applyNumberFormat="1" applyFont="1" applyFill="1" applyBorder="1" applyAlignment="1">
      <alignment horizontal="center"/>
    </xf>
    <xf numFmtId="165" fontId="6" fillId="3" borderId="42" xfId="1" applyNumberFormat="1" applyFont="1" applyFill="1" applyBorder="1" applyAlignment="1">
      <alignment horizontal="center"/>
    </xf>
    <xf numFmtId="0" fontId="0" fillId="5" borderId="26" xfId="0" applyFill="1" applyBorder="1" applyAlignment="1">
      <alignment horizontal="center"/>
    </xf>
    <xf numFmtId="165" fontId="0" fillId="3" borderId="5"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9" fontId="0" fillId="2" borderId="0" xfId="2" applyFont="1" applyFill="1"/>
    <xf numFmtId="0" fontId="0" fillId="5" borderId="28" xfId="0" applyFill="1" applyBorder="1" applyAlignment="1">
      <alignment horizontal="center"/>
    </xf>
    <xf numFmtId="0" fontId="0" fillId="5" borderId="30" xfId="0" applyFill="1" applyBorder="1" applyAlignment="1">
      <alignment horizontal="center"/>
    </xf>
    <xf numFmtId="165" fontId="7" fillId="3" borderId="5" xfId="1" applyNumberFormat="1" applyFont="1" applyFill="1" applyBorder="1" applyAlignment="1">
      <alignment horizontal="right"/>
    </xf>
    <xf numFmtId="0" fontId="0" fillId="5" borderId="17" xfId="0" applyFill="1" applyBorder="1" applyAlignment="1">
      <alignment horizontal="left"/>
    </xf>
    <xf numFmtId="165" fontId="7" fillId="3" borderId="42" xfId="1" applyNumberFormat="1" applyFont="1" applyFill="1" applyBorder="1" applyAlignment="1">
      <alignment horizontal="right"/>
    </xf>
    <xf numFmtId="0" fontId="2" fillId="5" borderId="36" xfId="0" applyFont="1" applyFill="1" applyBorder="1" applyAlignment="1">
      <alignment horizontal="center"/>
    </xf>
    <xf numFmtId="0" fontId="2" fillId="5" borderId="45" xfId="0" applyFont="1" applyFill="1" applyBorder="1" applyAlignment="1">
      <alignment horizontal="center"/>
    </xf>
    <xf numFmtId="0" fontId="0" fillId="3" borderId="0" xfId="0" applyFill="1" applyAlignment="1">
      <alignment horizontal="center"/>
    </xf>
    <xf numFmtId="0" fontId="9" fillId="5" borderId="29" xfId="0" applyFont="1" applyFill="1" applyBorder="1" applyAlignment="1">
      <alignment horizontal="left"/>
    </xf>
    <xf numFmtId="0" fontId="2" fillId="5" borderId="23" xfId="0" applyFont="1" applyFill="1" applyBorder="1" applyAlignment="1">
      <alignment horizontal="center"/>
    </xf>
    <xf numFmtId="0" fontId="2" fillId="5" borderId="0" xfId="0" applyFont="1" applyFill="1" applyAlignment="1">
      <alignment horizontal="center"/>
    </xf>
    <xf numFmtId="165" fontId="6" fillId="3" borderId="26" xfId="1" applyNumberFormat="1" applyFont="1" applyFill="1" applyBorder="1" applyAlignment="1">
      <alignment horizontal="center"/>
    </xf>
    <xf numFmtId="0" fontId="13" fillId="5" borderId="4" xfId="0" applyFont="1" applyFill="1" applyBorder="1" applyAlignment="1">
      <alignment horizontal="left" indent="1"/>
    </xf>
    <xf numFmtId="0" fontId="13" fillId="5" borderId="17" xfId="0" applyFont="1" applyFill="1" applyBorder="1" applyAlignment="1">
      <alignment horizontal="left" indent="1"/>
    </xf>
    <xf numFmtId="0" fontId="2" fillId="5" borderId="18" xfId="0" applyFont="1" applyFill="1" applyBorder="1" applyAlignment="1">
      <alignment horizontal="center"/>
    </xf>
    <xf numFmtId="165" fontId="6" fillId="3" borderId="19" xfId="1" applyNumberFormat="1" applyFont="1" applyFill="1" applyBorder="1" applyAlignment="1">
      <alignment horizontal="center"/>
    </xf>
    <xf numFmtId="0" fontId="14" fillId="5" borderId="22" xfId="0" applyFont="1" applyFill="1" applyBorder="1" applyAlignment="1">
      <alignment horizontal="left"/>
    </xf>
    <xf numFmtId="0" fontId="2" fillId="5" borderId="7" xfId="0" applyFont="1" applyFill="1" applyBorder="1" applyAlignment="1">
      <alignment horizontal="center"/>
    </xf>
    <xf numFmtId="0" fontId="0" fillId="5" borderId="29" xfId="0" applyFill="1" applyBorder="1" applyAlignment="1">
      <alignment horizontal="center"/>
    </xf>
    <xf numFmtId="0" fontId="2" fillId="5" borderId="25" xfId="0" applyFont="1" applyFill="1" applyBorder="1" applyAlignment="1">
      <alignment horizontal="left"/>
    </xf>
    <xf numFmtId="0" fontId="0" fillId="5" borderId="41" xfId="0" applyFill="1" applyBorder="1" applyAlignment="1">
      <alignment horizontal="left"/>
    </xf>
    <xf numFmtId="165" fontId="5" fillId="3" borderId="0" xfId="1" applyNumberFormat="1" applyFont="1" applyFill="1" applyBorder="1" applyAlignment="1">
      <alignment horizontal="right"/>
    </xf>
    <xf numFmtId="167" fontId="5" fillId="3" borderId="25" xfId="0" applyNumberFormat="1" applyFont="1" applyFill="1" applyBorder="1"/>
    <xf numFmtId="167" fontId="5" fillId="3" borderId="25" xfId="2" applyNumberFormat="1" applyFont="1" applyFill="1" applyBorder="1" applyAlignment="1"/>
    <xf numFmtId="167" fontId="5" fillId="3" borderId="34" xfId="2" applyNumberFormat="1" applyFont="1" applyFill="1" applyBorder="1" applyAlignment="1"/>
    <xf numFmtId="167" fontId="5" fillId="3" borderId="20" xfId="2" applyNumberFormat="1" applyFont="1" applyFill="1" applyBorder="1" applyAlignment="1"/>
    <xf numFmtId="166" fontId="7" fillId="3" borderId="37" xfId="0" applyNumberFormat="1" applyFont="1" applyFill="1" applyBorder="1" applyAlignment="1">
      <alignment horizontal="right"/>
    </xf>
    <xf numFmtId="166" fontId="7" fillId="3" borderId="36" xfId="0" applyNumberFormat="1" applyFont="1" applyFill="1" applyBorder="1" applyAlignment="1">
      <alignment horizontal="right"/>
    </xf>
    <xf numFmtId="166" fontId="7" fillId="3" borderId="38" xfId="0" applyNumberFormat="1" applyFont="1" applyFill="1" applyBorder="1" applyAlignment="1">
      <alignment horizontal="right"/>
    </xf>
    <xf numFmtId="166" fontId="7" fillId="3" borderId="25" xfId="0" applyNumberFormat="1" applyFont="1" applyFill="1" applyBorder="1" applyAlignment="1">
      <alignment horizontal="right"/>
    </xf>
    <xf numFmtId="166" fontId="7" fillId="3" borderId="28" xfId="0" applyNumberFormat="1" applyFont="1" applyFill="1" applyBorder="1" applyAlignment="1">
      <alignment horizontal="right"/>
    </xf>
    <xf numFmtId="166" fontId="7" fillId="3" borderId="34" xfId="0" applyNumberFormat="1" applyFont="1" applyFill="1" applyBorder="1" applyAlignment="1">
      <alignment horizontal="right"/>
    </xf>
    <xf numFmtId="0" fontId="5" fillId="3" borderId="31" xfId="0" applyFont="1" applyFill="1" applyBorder="1" applyAlignment="1">
      <alignment horizontal="center"/>
    </xf>
    <xf numFmtId="0" fontId="5" fillId="3" borderId="19" xfId="0" applyFont="1" applyFill="1" applyBorder="1" applyAlignment="1">
      <alignment horizontal="center"/>
    </xf>
    <xf numFmtId="0" fontId="7" fillId="3" borderId="31" xfId="0" applyFont="1" applyFill="1" applyBorder="1" applyAlignment="1">
      <alignment horizontal="center"/>
    </xf>
    <xf numFmtId="0" fontId="7" fillId="3" borderId="19" xfId="0" applyFont="1" applyFill="1" applyBorder="1" applyAlignment="1">
      <alignment horizontal="center"/>
    </xf>
    <xf numFmtId="166" fontId="7" fillId="3" borderId="31" xfId="1" applyNumberFormat="1" applyFont="1" applyFill="1" applyBorder="1" applyAlignment="1">
      <alignment horizontal="right"/>
    </xf>
    <xf numFmtId="166" fontId="7" fillId="3" borderId="18" xfId="1" applyNumberFormat="1" applyFont="1" applyFill="1" applyBorder="1" applyAlignment="1">
      <alignment horizontal="right"/>
    </xf>
    <xf numFmtId="166" fontId="7" fillId="3" borderId="19" xfId="1" applyNumberFormat="1" applyFont="1" applyFill="1" applyBorder="1" applyAlignment="1">
      <alignment horizontal="right"/>
    </xf>
    <xf numFmtId="166" fontId="7" fillId="3" borderId="41" xfId="0" applyNumberFormat="1" applyFont="1" applyFill="1" applyBorder="1" applyAlignment="1">
      <alignment horizontal="right"/>
    </xf>
    <xf numFmtId="166" fontId="7" fillId="3" borderId="0" xfId="0" applyNumberFormat="1" applyFont="1" applyFill="1" applyAlignment="1">
      <alignment horizontal="right"/>
    </xf>
    <xf numFmtId="166" fontId="7" fillId="3" borderId="5" xfId="0" applyNumberFormat="1" applyFont="1" applyFill="1" applyBorder="1" applyAlignment="1">
      <alignment horizontal="right"/>
    </xf>
    <xf numFmtId="0" fontId="2" fillId="5" borderId="28" xfId="0" applyFont="1" applyFill="1" applyBorder="1" applyAlignment="1">
      <alignment horizontal="center"/>
    </xf>
    <xf numFmtId="16" fontId="5" fillId="3" borderId="41" xfId="0" applyNumberFormat="1" applyFont="1" applyFill="1" applyBorder="1" applyAlignment="1">
      <alignment horizontal="center"/>
    </xf>
    <xf numFmtId="0" fontId="5" fillId="3" borderId="26" xfId="0" applyFont="1" applyFill="1" applyBorder="1" applyAlignment="1">
      <alignment horizontal="center"/>
    </xf>
    <xf numFmtId="10" fontId="7" fillId="3" borderId="41" xfId="0" applyNumberFormat="1" applyFont="1" applyFill="1" applyBorder="1" applyAlignment="1">
      <alignment horizontal="center"/>
    </xf>
    <xf numFmtId="0" fontId="7" fillId="3" borderId="26" xfId="0" applyFont="1" applyFill="1" applyBorder="1" applyAlignment="1">
      <alignment horizontal="center"/>
    </xf>
    <xf numFmtId="166" fontId="7" fillId="3" borderId="41" xfId="1" applyNumberFormat="1" applyFont="1" applyFill="1" applyBorder="1" applyAlignment="1">
      <alignment horizontal="right"/>
    </xf>
    <xf numFmtId="166" fontId="7" fillId="3" borderId="0" xfId="1" applyNumberFormat="1" applyFont="1" applyFill="1" applyBorder="1" applyAlignment="1">
      <alignment horizontal="right"/>
    </xf>
    <xf numFmtId="166" fontId="7" fillId="3" borderId="26" xfId="1" applyNumberFormat="1" applyFont="1" applyFill="1" applyBorder="1" applyAlignment="1">
      <alignment horizontal="right"/>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66" fontId="7" fillId="3" borderId="30" xfId="0" applyNumberFormat="1" applyFont="1" applyFill="1" applyBorder="1" applyAlignment="1">
      <alignment horizontal="right"/>
    </xf>
    <xf numFmtId="0" fontId="2" fillId="8" borderId="27" xfId="0" applyFont="1" applyFill="1" applyBorder="1" applyAlignment="1">
      <alignment horizontal="center"/>
    </xf>
    <xf numFmtId="0" fontId="2" fillId="8" borderId="24" xfId="0" applyFont="1" applyFill="1" applyBorder="1" applyAlignment="1">
      <alignment horizontal="center"/>
    </xf>
    <xf numFmtId="0" fontId="6" fillId="8" borderId="27" xfId="0" applyFont="1" applyFill="1" applyBorder="1" applyAlignment="1">
      <alignment horizontal="center"/>
    </xf>
    <xf numFmtId="0" fontId="6" fillId="8" borderId="24" xfId="0" applyFont="1" applyFill="1" applyBorder="1" applyAlignment="1">
      <alignment horizontal="center"/>
    </xf>
    <xf numFmtId="166" fontId="7" fillId="8" borderId="27" xfId="1" applyNumberFormat="1" applyFont="1" applyFill="1" applyBorder="1" applyAlignment="1">
      <alignment horizontal="right"/>
    </xf>
    <xf numFmtId="166" fontId="7" fillId="8" borderId="23" xfId="1" applyNumberFormat="1" applyFont="1" applyFill="1" applyBorder="1" applyAlignment="1">
      <alignment horizontal="right"/>
    </xf>
    <xf numFmtId="166" fontId="7" fillId="8" borderId="24" xfId="1" applyNumberFormat="1" applyFont="1" applyFill="1" applyBorder="1" applyAlignment="1">
      <alignment horizontal="right"/>
    </xf>
    <xf numFmtId="166" fontId="7" fillId="8" borderId="27" xfId="0" applyNumberFormat="1" applyFont="1" applyFill="1" applyBorder="1" applyAlignment="1">
      <alignment horizontal="right"/>
    </xf>
    <xf numFmtId="166" fontId="7" fillId="8" borderId="23" xfId="0" applyNumberFormat="1" applyFont="1" applyFill="1" applyBorder="1" applyAlignment="1">
      <alignment horizontal="right"/>
    </xf>
    <xf numFmtId="166" fontId="7" fillId="8" borderId="40" xfId="0" applyNumberFormat="1" applyFont="1" applyFill="1" applyBorder="1" applyAlignment="1">
      <alignment horizontal="right"/>
    </xf>
    <xf numFmtId="0" fontId="9" fillId="6" borderId="1" xfId="0" applyFont="1" applyFill="1" applyBorder="1" applyAlignment="1">
      <alignment horizontal="center"/>
    </xf>
    <xf numFmtId="0" fontId="9" fillId="6" borderId="2" xfId="0" applyFont="1" applyFill="1" applyBorder="1" applyAlignment="1">
      <alignment horizontal="center"/>
    </xf>
    <xf numFmtId="0" fontId="9" fillId="6" borderId="3" xfId="0" applyFont="1" applyFill="1" applyBorder="1" applyAlignment="1">
      <alignment horizontal="center"/>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66" fontId="5" fillId="3" borderId="25" xfId="1" applyNumberFormat="1" applyFont="1" applyFill="1" applyBorder="1" applyAlignment="1">
      <alignment horizontal="right"/>
    </xf>
    <xf numFmtId="166" fontId="5" fillId="3" borderId="28" xfId="1" applyNumberFormat="1" applyFont="1" applyFill="1" applyBorder="1" applyAlignment="1">
      <alignment horizontal="right"/>
    </xf>
    <xf numFmtId="166" fontId="5" fillId="3" borderId="34"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34" xfId="1" applyNumberFormat="1" applyFont="1" applyFill="1" applyBorder="1" applyAlignment="1">
      <alignment horizontal="right"/>
    </xf>
    <xf numFmtId="164" fontId="5" fillId="3" borderId="25" xfId="1" applyFont="1" applyFill="1" applyBorder="1" applyAlignment="1">
      <alignment horizontal="right"/>
    </xf>
    <xf numFmtId="164" fontId="5" fillId="3" borderId="28" xfId="1" applyFont="1" applyFill="1" applyBorder="1" applyAlignment="1">
      <alignment horizontal="right"/>
    </xf>
    <xf numFmtId="164" fontId="5" fillId="3" borderId="34" xfId="1" applyFont="1" applyFill="1" applyBorder="1" applyAlignment="1">
      <alignment horizontal="right"/>
    </xf>
    <xf numFmtId="165" fontId="5" fillId="3" borderId="37" xfId="1" applyNumberFormat="1" applyFont="1" applyFill="1" applyBorder="1" applyAlignment="1">
      <alignment horizontal="right"/>
    </xf>
    <xf numFmtId="165" fontId="5" fillId="3" borderId="36" xfId="1" applyNumberFormat="1" applyFont="1" applyFill="1" applyBorder="1" applyAlignment="1">
      <alignment horizontal="right"/>
    </xf>
    <xf numFmtId="165" fontId="5" fillId="3" borderId="38" xfId="1" applyNumberFormat="1" applyFont="1" applyFill="1" applyBorder="1" applyAlignment="1">
      <alignment horizontal="right"/>
    </xf>
    <xf numFmtId="165" fontId="5" fillId="3" borderId="43" xfId="1" applyNumberFormat="1" applyFont="1" applyFill="1" applyBorder="1" applyAlignment="1">
      <alignment horizontal="right"/>
    </xf>
    <xf numFmtId="165" fontId="5" fillId="3" borderId="7" xfId="1" applyNumberFormat="1" applyFont="1" applyFill="1" applyBorder="1" applyAlignment="1">
      <alignment horizontal="right"/>
    </xf>
    <xf numFmtId="165" fontId="5" fillId="3" borderId="8" xfId="1" applyNumberFormat="1" applyFont="1" applyFill="1" applyBorder="1" applyAlignment="1">
      <alignment horizontal="right"/>
    </xf>
    <xf numFmtId="165" fontId="12" fillId="7" borderId="37" xfId="1" applyNumberFormat="1" applyFont="1" applyFill="1" applyBorder="1" applyAlignment="1">
      <alignment horizontal="right"/>
    </xf>
    <xf numFmtId="165" fontId="12" fillId="7" borderId="36" xfId="1" applyNumberFormat="1" applyFont="1" applyFill="1" applyBorder="1" applyAlignment="1">
      <alignment horizontal="right"/>
    </xf>
    <xf numFmtId="165" fontId="12" fillId="7" borderId="45" xfId="1" applyNumberFormat="1" applyFont="1" applyFill="1" applyBorder="1" applyAlignment="1">
      <alignment horizontal="right"/>
    </xf>
    <xf numFmtId="165" fontId="12" fillId="7" borderId="38" xfId="1" applyNumberFormat="1" applyFont="1" applyFill="1" applyBorder="1" applyAlignment="1">
      <alignment horizontal="right"/>
    </xf>
    <xf numFmtId="0" fontId="9" fillId="6" borderId="12" xfId="0" applyFont="1" applyFill="1" applyBorder="1" applyAlignment="1">
      <alignment horizontal="center"/>
    </xf>
    <xf numFmtId="0" fontId="9" fillId="6" borderId="13" xfId="0" applyFont="1" applyFill="1" applyBorder="1" applyAlignment="1">
      <alignment horizontal="center"/>
    </xf>
    <xf numFmtId="0" fontId="9" fillId="6" borderId="39" xfId="0" applyFont="1" applyFill="1" applyBorder="1" applyAlignment="1">
      <alignment horizontal="center"/>
    </xf>
    <xf numFmtId="165" fontId="5" fillId="3" borderId="27"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30" xfId="1" applyNumberFormat="1" applyFont="1" applyFill="1" applyBorder="1" applyAlignment="1">
      <alignment horizontal="right"/>
    </xf>
    <xf numFmtId="165" fontId="5" fillId="3" borderId="40" xfId="1" applyNumberFormat="1" applyFont="1" applyFill="1" applyBorder="1" applyAlignment="1">
      <alignment horizontal="right"/>
    </xf>
    <xf numFmtId="165" fontId="5" fillId="3" borderId="41"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5" fillId="3" borderId="24" xfId="1" applyNumberFormat="1" applyFont="1" applyFill="1" applyBorder="1" applyAlignment="1">
      <alignment horizontal="right"/>
    </xf>
    <xf numFmtId="164" fontId="5" fillId="3" borderId="41" xfId="1" applyFont="1" applyFill="1" applyBorder="1" applyAlignment="1">
      <alignment horizontal="right"/>
    </xf>
    <xf numFmtId="164" fontId="5" fillId="3" borderId="0" xfId="1" applyFont="1" applyFill="1" applyBorder="1" applyAlignment="1">
      <alignment horizontal="right"/>
    </xf>
    <xf numFmtId="0" fontId="5" fillId="3" borderId="41" xfId="0" applyFont="1" applyFill="1" applyBorder="1" applyAlignment="1">
      <alignment horizontal="right"/>
    </xf>
    <xf numFmtId="0" fontId="5" fillId="3" borderId="0" xfId="0" applyFont="1" applyFill="1" applyAlignment="1">
      <alignment horizontal="right"/>
    </xf>
    <xf numFmtId="0" fontId="11" fillId="3" borderId="31" xfId="0" applyFont="1" applyFill="1" applyBorder="1" applyAlignment="1">
      <alignment horizontal="right"/>
    </xf>
    <xf numFmtId="0" fontId="11" fillId="3" borderId="18" xfId="0" applyFont="1" applyFill="1" applyBorder="1" applyAlignment="1">
      <alignment horizontal="right"/>
    </xf>
    <xf numFmtId="0" fontId="11" fillId="3" borderId="42" xfId="0" applyFont="1" applyFill="1" applyBorder="1" applyAlignment="1">
      <alignment horizontal="right"/>
    </xf>
    <xf numFmtId="164" fontId="5" fillId="3" borderId="41" xfId="0" applyNumberFormat="1" applyFont="1" applyFill="1" applyBorder="1" applyAlignment="1">
      <alignment horizontal="right"/>
    </xf>
    <xf numFmtId="164" fontId="5" fillId="3" borderId="0" xfId="0" applyNumberFormat="1" applyFont="1" applyFill="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4" xfId="0" applyFont="1" applyFill="1" applyBorder="1" applyAlignment="1">
      <alignment horizontal="center" vertical="center"/>
    </xf>
    <xf numFmtId="0" fontId="5" fillId="3" borderId="27" xfId="0" applyFont="1" applyFill="1" applyBorder="1" applyAlignment="1">
      <alignment horizontal="right"/>
    </xf>
    <xf numFmtId="0" fontId="5" fillId="3" borderId="23" xfId="0" applyFont="1" applyFill="1" applyBorder="1" applyAlignment="1">
      <alignment horizontal="right"/>
    </xf>
    <xf numFmtId="164" fontId="5" fillId="3" borderId="25" xfId="1" applyFont="1" applyFill="1" applyBorder="1" applyAlignment="1">
      <alignment horizontal="center"/>
    </xf>
    <xf numFmtId="164" fontId="5" fillId="3" borderId="30" xfId="1" applyFont="1" applyFill="1" applyBorder="1" applyAlignment="1">
      <alignment horizontal="center"/>
    </xf>
    <xf numFmtId="164" fontId="5" fillId="3" borderId="34" xfId="1" applyFont="1" applyFill="1" applyBorder="1" applyAlignment="1">
      <alignment horizontal="center"/>
    </xf>
    <xf numFmtId="164" fontId="5" fillId="3" borderId="37" xfId="1" applyFont="1" applyFill="1" applyBorder="1" applyAlignment="1">
      <alignment horizontal="center"/>
    </xf>
    <xf numFmtId="164" fontId="5" fillId="3" borderId="45" xfId="1" applyFont="1" applyFill="1" applyBorder="1" applyAlignment="1">
      <alignment horizontal="center"/>
    </xf>
    <xf numFmtId="164" fontId="5" fillId="3" borderId="38" xfId="1" applyFont="1" applyFill="1" applyBorder="1" applyAlignment="1">
      <alignment horizontal="center"/>
    </xf>
    <xf numFmtId="165" fontId="5" fillId="3" borderId="31" xfId="0" applyNumberFormat="1" applyFont="1" applyFill="1" applyBorder="1" applyAlignment="1">
      <alignment horizontal="right"/>
    </xf>
    <xf numFmtId="165" fontId="5" fillId="3" borderId="18" xfId="0" applyNumberFormat="1" applyFont="1" applyFill="1" applyBorder="1" applyAlignment="1">
      <alignment horizontal="right"/>
    </xf>
    <xf numFmtId="165" fontId="5" fillId="3" borderId="42" xfId="0" applyNumberFormat="1" applyFont="1" applyFill="1" applyBorder="1" applyAlignment="1">
      <alignment horizontal="right"/>
    </xf>
    <xf numFmtId="165" fontId="5" fillId="0" borderId="31" xfId="0" applyNumberFormat="1" applyFont="1" applyBorder="1" applyAlignment="1">
      <alignment horizontal="right"/>
    </xf>
    <xf numFmtId="165" fontId="5" fillId="0" borderId="18" xfId="0" applyNumberFormat="1" applyFont="1" applyBorder="1" applyAlignment="1">
      <alignment horizontal="right"/>
    </xf>
    <xf numFmtId="165" fontId="5" fillId="0" borderId="42" xfId="0" applyNumberFormat="1" applyFont="1" applyBorder="1" applyAlignment="1">
      <alignment horizontal="right"/>
    </xf>
    <xf numFmtId="164" fontId="5" fillId="3" borderId="43" xfId="0" applyNumberFormat="1"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2" fillId="7" borderId="25" xfId="0" applyFont="1" applyFill="1" applyBorder="1" applyAlignment="1">
      <alignment horizontal="center"/>
    </xf>
    <xf numFmtId="0" fontId="2" fillId="7" borderId="30" xfId="0" applyFont="1" applyFill="1" applyBorder="1" applyAlignment="1">
      <alignment horizontal="center"/>
    </xf>
    <xf numFmtId="0" fontId="2" fillId="7" borderId="27" xfId="0" applyFont="1" applyFill="1" applyBorder="1" applyAlignment="1">
      <alignment horizontal="center"/>
    </xf>
    <xf numFmtId="0" fontId="2" fillId="7" borderId="24" xfId="0" applyFont="1" applyFill="1" applyBorder="1" applyAlignment="1">
      <alignment horizontal="center"/>
    </xf>
    <xf numFmtId="0" fontId="2" fillId="7" borderId="0" xfId="0" applyFont="1" applyFill="1" applyAlignment="1">
      <alignment horizontal="center"/>
    </xf>
    <xf numFmtId="0" fontId="2" fillId="7" borderId="5" xfId="0" applyFont="1" applyFill="1" applyBorder="1" applyAlignment="1">
      <alignment horizontal="center"/>
    </xf>
    <xf numFmtId="165" fontId="5" fillId="0" borderId="43" xfId="1" applyNumberFormat="1" applyFont="1" applyFill="1" applyBorder="1" applyAlignment="1">
      <alignment horizontal="right"/>
    </xf>
    <xf numFmtId="165" fontId="5" fillId="0" borderId="7" xfId="1" applyNumberFormat="1" applyFont="1" applyFill="1" applyBorder="1" applyAlignment="1">
      <alignment horizontal="right"/>
    </xf>
    <xf numFmtId="165" fontId="7" fillId="3" borderId="27" xfId="0" applyNumberFormat="1" applyFont="1" applyFill="1" applyBorder="1" applyAlignment="1">
      <alignment horizontal="right"/>
    </xf>
    <xf numFmtId="165" fontId="7" fillId="3" borderId="23" xfId="0" applyNumberFormat="1" applyFont="1" applyFill="1" applyBorder="1" applyAlignment="1">
      <alignment horizontal="right"/>
    </xf>
    <xf numFmtId="165" fontId="7" fillId="3" borderId="40" xfId="0" applyNumberFormat="1" applyFont="1" applyFill="1" applyBorder="1" applyAlignment="1">
      <alignment horizontal="right"/>
    </xf>
    <xf numFmtId="166" fontId="5" fillId="3" borderId="41" xfId="1" applyNumberFormat="1" applyFont="1" applyFill="1" applyBorder="1" applyAlignment="1">
      <alignment horizontal="right"/>
    </xf>
    <xf numFmtId="166" fontId="5" fillId="3" borderId="0" xfId="1" applyNumberFormat="1" applyFont="1" applyFill="1" applyBorder="1" applyAlignment="1">
      <alignment horizontal="right"/>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34" xfId="0" applyFont="1" applyFill="1" applyBorder="1" applyAlignment="1">
      <alignment horizontal="center"/>
    </xf>
    <xf numFmtId="165" fontId="5" fillId="0" borderId="31" xfId="1" applyNumberFormat="1" applyFont="1" applyFill="1" applyBorder="1" applyAlignment="1">
      <alignment horizontal="right"/>
    </xf>
    <xf numFmtId="165" fontId="5" fillId="0" borderId="18" xfId="1" applyNumberFormat="1" applyFont="1" applyFill="1" applyBorder="1" applyAlignment="1">
      <alignment horizontal="right"/>
    </xf>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34"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40" xfId="1" applyNumberFormat="1" applyFont="1" applyFill="1" applyBorder="1" applyAlignment="1">
      <alignment horizontal="right"/>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right"/>
    </xf>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165" fontId="5" fillId="3" borderId="20" xfId="1" applyNumberFormat="1" applyFont="1" applyFill="1" applyBorder="1" applyAlignment="1">
      <alignment horizontal="right" wrapText="1"/>
    </xf>
    <xf numFmtId="165" fontId="5" fillId="3" borderId="21" xfId="1"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6"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24" xfId="0" applyFont="1" applyFill="1" applyBorder="1" applyAlignment="1">
      <alignment horizontal="left" vertical="center"/>
    </xf>
    <xf numFmtId="165" fontId="2" fillId="3" borderId="25" xfId="1" applyNumberFormat="1" applyFont="1" applyFill="1" applyBorder="1" applyAlignment="1">
      <alignment horizontal="center"/>
    </xf>
    <xf numFmtId="165" fontId="2" fillId="3" borderId="30" xfId="1" applyNumberFormat="1" applyFont="1" applyFill="1" applyBorder="1" applyAlignment="1">
      <alignment horizontal="center"/>
    </xf>
    <xf numFmtId="9" fontId="2" fillId="3" borderId="25" xfId="0" applyNumberFormat="1" applyFont="1" applyFill="1" applyBorder="1" applyAlignment="1">
      <alignment horizontal="center"/>
    </xf>
    <xf numFmtId="0" fontId="2" fillId="3" borderId="30" xfId="0" applyFont="1" applyFill="1" applyBorder="1" applyAlignment="1">
      <alignment horizontal="center"/>
    </xf>
    <xf numFmtId="165" fontId="2" fillId="3" borderId="25" xfId="1" applyNumberFormat="1" applyFont="1" applyFill="1" applyBorder="1" applyAlignment="1">
      <alignment horizontal="right"/>
    </xf>
    <xf numFmtId="165"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xf numFmtId="165" fontId="0" fillId="3" borderId="41"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0" xfId="2" applyFont="1" applyFill="1" applyBorder="1" applyAlignment="1">
      <alignment horizontal="center"/>
    </xf>
    <xf numFmtId="9" fontId="0" fillId="3" borderId="26" xfId="2" applyFont="1" applyFill="1" applyBorder="1" applyAlignment="1">
      <alignment horizontal="center"/>
    </xf>
    <xf numFmtId="165" fontId="0" fillId="3" borderId="41" xfId="1" applyNumberFormat="1" applyFont="1" applyFill="1" applyBorder="1" applyAlignment="1">
      <alignment horizontal="right"/>
    </xf>
    <xf numFmtId="165" fontId="0" fillId="3" borderId="0" xfId="1" applyNumberFormat="1" applyFont="1" applyFill="1" applyBorder="1" applyAlignment="1">
      <alignment horizontal="right"/>
    </xf>
    <xf numFmtId="9" fontId="0" fillId="3" borderId="41" xfId="2" applyFont="1" applyFill="1" applyBorder="1" applyAlignment="1">
      <alignment horizontal="center"/>
    </xf>
    <xf numFmtId="9" fontId="0" fillId="3" borderId="18" xfId="2" applyFont="1" applyFill="1" applyBorder="1" applyAlignment="1">
      <alignment horizontal="center"/>
    </xf>
    <xf numFmtId="9" fontId="0" fillId="3" borderId="19" xfId="2" applyFont="1" applyFill="1" applyBorder="1" applyAlignment="1">
      <alignment horizontal="center"/>
    </xf>
    <xf numFmtId="9" fontId="0" fillId="3" borderId="31" xfId="2" applyFont="1" applyFill="1" applyBorder="1" applyAlignment="1">
      <alignment horizontal="center"/>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5" fontId="2" fillId="3" borderId="31" xfId="1" applyNumberFormat="1" applyFont="1" applyFill="1" applyBorder="1" applyAlignment="1">
      <alignment horizontal="center"/>
    </xf>
    <xf numFmtId="165" fontId="2" fillId="3" borderId="19" xfId="1" applyNumberFormat="1" applyFont="1" applyFill="1" applyBorder="1" applyAlignment="1">
      <alignment horizontal="center"/>
    </xf>
    <xf numFmtId="165" fontId="2" fillId="3" borderId="25" xfId="0" applyNumberFormat="1" applyFont="1" applyFill="1" applyBorder="1" applyAlignment="1">
      <alignment horizontal="center"/>
    </xf>
    <xf numFmtId="165" fontId="0" fillId="3" borderId="0" xfId="1" applyNumberFormat="1" applyFont="1" applyFill="1" applyBorder="1" applyAlignment="1">
      <alignment horizontal="center"/>
    </xf>
    <xf numFmtId="165" fontId="0" fillId="3" borderId="31" xfId="1" applyNumberFormat="1" applyFont="1" applyFill="1" applyBorder="1" applyAlignment="1">
      <alignment horizontal="center"/>
    </xf>
    <xf numFmtId="165" fontId="0" fillId="3" borderId="19" xfId="1"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19" xfId="0" applyFont="1" applyFill="1" applyBorder="1" applyAlignment="1">
      <alignment horizontal="center"/>
    </xf>
    <xf numFmtId="9" fontId="2" fillId="3" borderId="30" xfId="0" applyNumberFormat="1" applyFont="1" applyFill="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0" fontId="2" fillId="5" borderId="23" xfId="0" applyFont="1" applyFill="1" applyBorder="1" applyAlignment="1">
      <alignment horizontal="center"/>
    </xf>
    <xf numFmtId="0" fontId="2" fillId="5" borderId="24" xfId="0" applyFont="1" applyFill="1" applyBorder="1" applyAlignment="1">
      <alignment horizontal="center"/>
    </xf>
    <xf numFmtId="9" fontId="7" fillId="3" borderId="37" xfId="2" applyFont="1" applyFill="1" applyBorder="1" applyAlignment="1">
      <alignment horizontal="center"/>
    </xf>
    <xf numFmtId="9" fontId="7" fillId="3" borderId="36" xfId="2" applyFont="1" applyFill="1" applyBorder="1" applyAlignment="1">
      <alignment horizontal="center"/>
    </xf>
    <xf numFmtId="9" fontId="7" fillId="3" borderId="45" xfId="2"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45" xfId="2" applyNumberFormat="1" applyFont="1" applyFill="1" applyBorder="1" applyAlignment="1">
      <alignment horizontal="center"/>
    </xf>
    <xf numFmtId="10" fontId="7" fillId="3" borderId="38"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3" borderId="34" xfId="2" applyNumberFormat="1" applyFont="1" applyFill="1" applyBorder="1" applyAlignment="1">
      <alignment horizontal="center"/>
    </xf>
    <xf numFmtId="0" fontId="6" fillId="3" borderId="25" xfId="0" applyFont="1" applyFill="1" applyBorder="1" applyAlignment="1">
      <alignment horizontal="center"/>
    </xf>
    <xf numFmtId="0" fontId="6" fillId="3" borderId="28" xfId="0" applyFont="1" applyFill="1" applyBorder="1" applyAlignment="1">
      <alignment horizontal="center"/>
    </xf>
    <xf numFmtId="0" fontId="6" fillId="3" borderId="30"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4" xfId="0" applyNumberFormat="1"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2" applyNumberFormat="1" applyFont="1" applyFill="1" applyBorder="1" applyAlignment="1">
      <alignment horizontal="center"/>
    </xf>
    <xf numFmtId="10" fontId="7" fillId="3" borderId="23" xfId="2" applyNumberFormat="1" applyFont="1" applyFill="1" applyBorder="1" applyAlignment="1">
      <alignment horizontal="center"/>
    </xf>
    <xf numFmtId="10" fontId="7" fillId="3" borderId="24" xfId="2" applyNumberFormat="1" applyFont="1" applyFill="1" applyBorder="1" applyAlignment="1">
      <alignment horizontal="center"/>
    </xf>
    <xf numFmtId="10" fontId="7" fillId="3" borderId="25" xfId="0" applyNumberFormat="1" applyFont="1" applyFill="1" applyBorder="1" applyAlignment="1">
      <alignment horizontal="center"/>
    </xf>
    <xf numFmtId="10" fontId="7" fillId="3" borderId="28" xfId="0" applyNumberFormat="1" applyFont="1" applyFill="1" applyBorder="1" applyAlignment="1">
      <alignment horizontal="center"/>
    </xf>
    <xf numFmtId="10" fontId="7" fillId="3" borderId="34" xfId="0" applyNumberFormat="1" applyFont="1" applyFill="1" applyBorder="1" applyAlignment="1">
      <alignment horizontal="center"/>
    </xf>
    <xf numFmtId="9" fontId="6"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4" xfId="0" applyFont="1" applyFill="1" applyBorder="1" applyAlignment="1">
      <alignment horizontal="center"/>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165" fontId="7" fillId="3" borderId="43"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4" xfId="1" applyNumberFormat="1" applyFont="1" applyFill="1" applyBorder="1" applyAlignment="1">
      <alignment horizontal="right"/>
    </xf>
    <xf numFmtId="165" fontId="7" fillId="3" borderId="8" xfId="1" applyNumberFormat="1" applyFont="1" applyFill="1" applyBorder="1" applyAlignment="1">
      <alignment horizontal="right"/>
    </xf>
    <xf numFmtId="0" fontId="2" fillId="5" borderId="34" xfId="0" applyFont="1" applyFill="1" applyBorder="1" applyAlignment="1">
      <alignment horizontal="center"/>
    </xf>
    <xf numFmtId="165" fontId="7" fillId="3" borderId="41" xfId="1" applyNumberFormat="1" applyFont="1" applyFill="1" applyBorder="1" applyAlignment="1">
      <alignment horizontal="right"/>
    </xf>
    <xf numFmtId="165" fontId="7" fillId="3" borderId="0" xfId="1" applyNumberFormat="1" applyFont="1" applyFill="1" applyBorder="1" applyAlignment="1">
      <alignment horizontal="right"/>
    </xf>
    <xf numFmtId="165" fontId="7" fillId="3" borderId="24" xfId="1" applyNumberFormat="1" applyFont="1" applyFill="1" applyBorder="1" applyAlignment="1">
      <alignment horizontal="right"/>
    </xf>
    <xf numFmtId="0" fontId="2" fillId="7" borderId="17" xfId="0" applyFont="1" applyFill="1" applyBorder="1" applyAlignment="1">
      <alignment horizontal="center"/>
    </xf>
    <xf numFmtId="0" fontId="2" fillId="7" borderId="18" xfId="0" applyFont="1" applyFill="1" applyBorder="1" applyAlignment="1">
      <alignment horizontal="center"/>
    </xf>
    <xf numFmtId="0" fontId="2" fillId="7" borderId="42" xfId="0" applyFont="1" applyFill="1" applyBorder="1" applyAlignment="1">
      <alignment horizontal="center"/>
    </xf>
    <xf numFmtId="165" fontId="7" fillId="3" borderId="36" xfId="1" applyNumberFormat="1" applyFont="1" applyFill="1" applyBorder="1" applyAlignment="1">
      <alignment horizontal="right"/>
    </xf>
    <xf numFmtId="165" fontId="7" fillId="3" borderId="38" xfId="1" applyNumberFormat="1" applyFont="1" applyFill="1" applyBorder="1" applyAlignment="1">
      <alignment horizontal="right"/>
    </xf>
    <xf numFmtId="165" fontId="7" fillId="3" borderId="41" xfId="1" applyNumberFormat="1" applyFont="1" applyFill="1" applyBorder="1" applyAlignment="1">
      <alignment horizontal="center"/>
    </xf>
    <xf numFmtId="165" fontId="7" fillId="3" borderId="0" xfId="1" applyNumberFormat="1" applyFont="1" applyFill="1" applyBorder="1" applyAlignment="1">
      <alignment horizontal="center"/>
    </xf>
    <xf numFmtId="165" fontId="7" fillId="0" borderId="23" xfId="1" applyNumberFormat="1" applyFont="1" applyFill="1" applyBorder="1" applyAlignment="1">
      <alignment horizontal="right"/>
    </xf>
    <xf numFmtId="165" fontId="7" fillId="0" borderId="40" xfId="1" applyNumberFormat="1" applyFont="1" applyFill="1" applyBorder="1" applyAlignment="1">
      <alignment horizontal="right"/>
    </xf>
    <xf numFmtId="0" fontId="0" fillId="3" borderId="20" xfId="0" applyFill="1" applyBorder="1" applyAlignment="1">
      <alignment horizontal="right"/>
    </xf>
    <xf numFmtId="0" fontId="0" fillId="3" borderId="21" xfId="0" applyFill="1" applyBorder="1" applyAlignment="1">
      <alignment horizontal="right"/>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7" fontId="5" fillId="3" borderId="20" xfId="0" applyNumberFormat="1" applyFont="1" applyFill="1" applyBorder="1" applyAlignment="1">
      <alignment horizontal="right" wrapText="1"/>
    </xf>
    <xf numFmtId="167" fontId="5" fillId="3" borderId="21" xfId="0" applyNumberFormat="1" applyFont="1" applyFill="1" applyBorder="1" applyAlignment="1">
      <alignment horizontal="right" wrapText="1"/>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4" xfId="0" applyNumberFormat="1" applyFont="1" applyFill="1" applyBorder="1" applyAlignment="1">
      <alignment horizontal="right" wrapText="1"/>
    </xf>
  </cellXfs>
  <cellStyles count="6">
    <cellStyle name="Comma" xfId="1" builtinId="3"/>
    <cellStyle name="Comma 2" xfId="3" xr:uid="{63450C7A-774E-4CDA-9DF3-2E863216C102}"/>
    <cellStyle name="Comma 3" xfId="5" xr:uid="{BD940C5C-B848-4723-BA93-F78EDDA29DEE}"/>
    <cellStyle name="Normal" xfId="0" builtinId="0"/>
    <cellStyle name="Normal 4" xfId="4" xr:uid="{05D70FAA-9BDD-4DD9-AE0D-0584621815B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C7F34FAB-C61A-4BC6-B0F4-7791B873FB0A}"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C7F34FAB-C61A-4BC6-B0F4-7791B873FB0A}" id="{DA6F514A-8638-41FF-B7AC-F887E7242448}">
    <text>1.141.13	Administrator Report Date means the fifteenth twelfth day after each Determination Date, or if any such day is not a Business Day, then the immediately succeeding day that is a Business Day;</text>
  </threadedComment>
  <threadedComment ref="C9" dT="2020-07-10T12:16:41.19" personId="{C7F34FAB-C61A-4BC6-B0F4-7791B873FB0A}" id="{CC2840BF-AA98-4A6D-8490-615CA2D25819}">
    <text>1.1021.100	Determination Date means the last Business Day of [December, March, June and September], save for the first Determination Date which will be the date specified in the APS;</text>
  </threadedComment>
  <threadedComment ref="C12" dT="2020-07-10T12:17:28.82" personId="{C7F34FAB-C61A-4BC6-B0F4-7791B873FB0A}" id="{8C5574C4-3BD3-4462-B226-E2020D606090}">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C7F34FAB-C61A-4BC6-B0F4-7791B873FB0A}" id="{7749B399-1936-4147-9F98-89FF0AFFF3FC}">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C7F34FAB-C61A-4BC6-B0F4-7791B873FB0A}" id="{39C7EABB-EA84-4658-A169-17263FFA5A9A}">
    <text>1.2201.211	Prepayments means principal repayments received under a Loan Agreement in excess of the minimum Instalments which a Borrower is obliged to pay;</text>
  </threadedComment>
  <threadedComment ref="C72" dT="2020-07-10T12:32:40.90" personId="{C7F34FAB-C61A-4BC6-B0F4-7791B873FB0A}" id="{5626D76C-2453-404D-9B38-72DF6E3D5CEE}">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1" dT="2020-07-10T12:14:24.90" personId="{C7F34FAB-C61A-4BC6-B0F4-7791B873FB0A}" id="{9355EA56-CB28-4CD1-BDD4-D597096ACA95}">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99" dT="2020-07-03T14:38:14.35" personId="{C7F34FAB-C61A-4BC6-B0F4-7791B873FB0A}" id="{DE450A2E-A297-4675-93F0-87A849970E0D}">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2" dT="2020-07-03T14:39:03.59" personId="{C7F34FAB-C61A-4BC6-B0F4-7791B873FB0A}" id="{3FF09FEC-5BA7-488C-8549-C4E3922659DD}">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6" dT="2020-07-03T14:39:59.73" personId="{C7F34FAB-C61A-4BC6-B0F4-7791B873FB0A}" id="{BF4A7D50-5CE4-40FB-92B7-C1C0EC1E3844}">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7" dT="2020-07-03T14:40:20.29" personId="{C7F34FAB-C61A-4BC6-B0F4-7791B873FB0A}" id="{39F59013-C96C-4707-9F16-410F757E6B7E}">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3" dT="2020-07-06T07:36:37.57" personId="{C7F34FAB-C61A-4BC6-B0F4-7791B873FB0A}" id="{217EE66D-1C5B-4F5D-9F09-C7416E59579F}">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2" dT="2020-07-06T07:42:12.02" personId="{C7F34FAB-C61A-4BC6-B0F4-7791B873FB0A}" id="{03EE91FA-4F3D-4EFC-B518-0062CD4A686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4" dT="2020-07-06T07:42:23.74" personId="{C7F34FAB-C61A-4BC6-B0F4-7791B873FB0A}" id="{59A3C86D-562C-4701-8D1A-84F25FFE5145}">
    <text>1.701.69	Class C Principal Lock-Out shall occur on any Interest Payment Date on which, if prior to the allocation of the Redemption Amount in accordance with the Priority of Payments, there are Class B Notes outstanding;</text>
  </threadedComment>
  <threadedComment ref="C138" dT="2020-07-01T09:26:37.19" personId="{C7F34FAB-C61A-4BC6-B0F4-7791B873FB0A}" id="{D6412838-C117-4C1D-BDDB-64279E404F23}">
    <text>1.1	first, to pay or provide for the Issuer’s liability or potential liability for Tax;</text>
  </threadedComment>
  <threadedComment ref="C139" dT="2020-07-01T09:26:57.34" personId="{C7F34FAB-C61A-4BC6-B0F4-7791B873FB0A}" id="{C210EB80-7FDD-46F1-8867-8D624DB155C8}">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2" dT="2020-07-01T09:27:14.39" personId="{C7F34FAB-C61A-4BC6-B0F4-7791B873FB0A}" id="{7EC12A7A-14A0-4CBD-A778-D8B1852B5F45}">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5" dT="2020-07-01T09:27:31.91" personId="{C7F34FAB-C61A-4BC6-B0F4-7791B873FB0A}" id="{DB7479F7-611E-40FE-8DE9-65CB35D83F5A}">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9" dT="2020-07-01T09:28:08.22" personId="{C7F34FAB-C61A-4BC6-B0F4-7791B873FB0A}" id="{CF7F3A6D-8906-4EAD-9411-03BC4DF888C0}">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0" dT="2020-07-01T09:28:21.98" personId="{C7F34FAB-C61A-4BC6-B0F4-7791B873FB0A}" id="{9AC28B81-DD40-46BC-9ED4-62E86C3ADCEB}">
    <text>1.6	sixth, to pay all amounts due and payable under the Liquidity Facility other than in respect of principal;</text>
  </threadedComment>
  <threadedComment ref="C151" dT="2020-07-01T09:28:38.95" personId="{C7F34FAB-C61A-4BC6-B0F4-7791B873FB0A}" id="{CB6F7F4E-A650-4C32-B80B-A9E8D407914C}">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5" dT="2020-07-01T09:28:53.80" personId="{C7F34FAB-C61A-4BC6-B0F4-7791B873FB0A}" id="{CB86EB98-7628-40F0-BD19-D7C796F0CCF2}">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6" dT="2020-07-01T09:29:09.23" personId="{C7F34FAB-C61A-4BC6-B0F4-7791B873FB0A}" id="{078CEBB8-9CEF-40E2-81B6-53E003F6E285}">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7" dT="2020-07-01T09:29:24.56" personId="{C7F34FAB-C61A-4BC6-B0F4-7791B873FB0A}" id="{10295943-FF24-4EE7-9609-F85F547E5E96}">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8" dT="2020-07-01T09:29:39.12" personId="{C7F34FAB-C61A-4BC6-B0F4-7791B873FB0A}" id="{CDB574C6-1644-4229-A159-82B02EB5FF3B}">
    <text>1.11	eleventh, to repay all principal amounts outstanding under the Liquidity Facility as at the immediately preceding Determination Date up to an amount equal to the Potential Redemption Amount;</text>
  </threadedComment>
  <threadedComment ref="C159" dT="2020-07-01T09:30:54.67" personId="{C7F34FAB-C61A-4BC6-B0F4-7791B873FB0A}" id="{4A57ABD8-2E7E-498B-BDE5-FCDF0EFBF691}">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0" dT="2020-07-01T09:32:55.52" personId="{C7F34FAB-C61A-4BC6-B0F4-7791B873FB0A}" id="{2D537A94-627E-4D5F-8080-365E55CF366A}">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1" dT="2020-07-01T10:02:56.38" personId="{C7F34FAB-C61A-4BC6-B0F4-7791B873FB0A}" id="{8F6C8853-9153-4345-B894-4136407932FE}">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8" dT="2020-07-01T10:03:22.01" personId="{C7F34FAB-C61A-4BC6-B0F4-7791B873FB0A}" id="{C89AF756-FB6B-4D4F-A67E-717752C4EB8C}">
    <text>1.16	sixteenth, to credit the Arrears Reserve up to the Arrears Reserve Required Amount;</text>
  </threadedComment>
  <threadedComment ref="C169" dT="2020-07-01T10:05:05.09" personId="{C7F34FAB-C61A-4BC6-B0F4-7791B873FB0A}" id="{600CB371-13CC-4712-AA2F-0CCA87134C72}">
    <text>1.17	seventeenth, if a Class B Interest Deferral Event has occurred on or prior to such Interest Payment Date, to pay interest due and payable in respect of the Class B Notes;</text>
  </threadedComment>
  <threadedComment ref="C170" dT="2020-07-01T12:04:10.91" personId="{C7F34FAB-C61A-4BC6-B0F4-7791B873FB0A}" id="{A7610BA7-642D-4148-B0E0-C5EE32E8A8BD}">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3" dT="2020-07-01T10:03:22.01" personId="{C7F34FAB-C61A-4BC6-B0F4-7791B873FB0A}" id="{6174AECB-AB8F-4D96-8ED9-C09958E13692}">
    <text>1.16	sixteenth, to credit the Arrears Reserve up to the Arrears Reserve Required Amount;</text>
  </threadedComment>
  <threadedComment ref="C174" dT="2020-07-01T12:05:33.95" personId="{C7F34FAB-C61A-4BC6-B0F4-7791B873FB0A}" id="{1A22FB0A-27A6-4E9F-85C7-79743F1CAB98}">
    <text>1.19	nineteenth, if a Class C Interest Deferral Event has occurred on or prior to such Interest Payment Date, to pay interest due and payable in respect of the Class C Notes;</text>
  </threadedComment>
  <threadedComment ref="C175" dT="2020-07-01T12:06:45.00" personId="{C7F34FAB-C61A-4BC6-B0F4-7791B873FB0A}" id="{2D43A1B5-AE17-4467-93E0-3516D9DC74E4}">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7" dT="2020-07-01T12:08:33.83" personId="{C7F34FAB-C61A-4BC6-B0F4-7791B873FB0A}" id="{D5B4696F-1A99-4057-A02D-E48B8C6E4DAC}">
    <text>1.21	twenty-first, to pay or provide for pari passu and pro rata the Derivative Termination Amounts due and payable to any Derivative Counterparty under the Derivative Contracts where the Derivative Counterparty is in default;</text>
  </threadedComment>
  <threadedComment ref="C178" dT="2020-07-01T12:32:50.70" personId="{C7F34FAB-C61A-4BC6-B0F4-7791B873FB0A}" id="{58DFF5F4-202A-4B18-BD1A-1F2EC71DED23}">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9" dT="2020-07-01T12:33:36.96" personId="{C7F34FAB-C61A-4BC6-B0F4-7791B873FB0A}" id="{4FEA78EF-8392-46A4-9822-0627308AA969}">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0" dT="2020-07-01T12:52:53.39" personId="{C7F34FAB-C61A-4BC6-B0F4-7791B873FB0A}" id="{4B37E2BC-E2A8-4566-B3EC-3B1F15CFF24E}">
    <text>1.24	twenty-forth, to pay amounts due and payable in respect of the Subordinated Loan;</text>
  </threadedComment>
  <threadedComment ref="C184" dT="2020-07-01T12:53:16.85" personId="{C7F34FAB-C61A-4BC6-B0F4-7791B873FB0A}" id="{569CB644-6A6F-40AD-9926-0939BFE7BCAE}">
    <text>1.25	twenty-fifth, to pay or provide for the dividend due and payable to the Preference Shareholder, net of Taxes; and</text>
  </threadedComment>
  <threadedComment ref="C185" dT="2020-07-01T12:53:33.02" personId="{C7F34FAB-C61A-4BC6-B0F4-7791B873FB0A}" id="{C4683E6B-D16A-428B-8960-8ABF2EEFEED5}">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402B-C050-4B66-B385-80EC9C1E4337}">
  <dimension ref="B1:X238"/>
  <sheetViews>
    <sheetView tabSelected="1" topLeftCell="A149" zoomScale="110" zoomScaleNormal="110" workbookViewId="0">
      <selection activeCell="F185" sqref="F185:H185"/>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9" width="16.140625" style="1" customWidth="1"/>
    <col min="10" max="10" width="18.140625" style="1" customWidth="1"/>
    <col min="11" max="12" width="15.7109375" style="1" customWidth="1"/>
    <col min="13" max="13" width="17.7109375" style="1" bestFit="1" customWidth="1"/>
    <col min="14" max="14" width="17.28515625" style="1" customWidth="1"/>
    <col min="15" max="15" width="4" style="1" customWidth="1"/>
    <col min="16" max="16" width="17.7109375" style="1" customWidth="1"/>
    <col min="17" max="17" width="13.85546875" style="1" bestFit="1" customWidth="1"/>
    <col min="18" max="18" width="14" style="1" customWidth="1"/>
    <col min="19" max="19" width="14.28515625" style="1" hidden="1" customWidth="1"/>
    <col min="20" max="20" width="9.140625" style="1"/>
    <col min="21" max="21" width="13.5703125" style="1" customWidth="1"/>
    <col min="22" max="22" width="9.140625" style="1"/>
    <col min="23" max="23" width="13.5703125" style="1" bestFit="1" customWidth="1"/>
    <col min="24" max="24" width="12.140625" style="1" bestFit="1" customWidth="1"/>
    <col min="25" max="16384" width="9.140625" style="1"/>
  </cols>
  <sheetData>
    <row r="1" spans="2:15" ht="15.75" thickBot="1"/>
    <row r="2" spans="2:15" ht="15.75" thickBot="1">
      <c r="B2" s="2"/>
      <c r="C2" s="3"/>
      <c r="D2" s="3"/>
      <c r="E2" s="3"/>
      <c r="F2" s="3"/>
      <c r="G2" s="3"/>
      <c r="H2" s="3"/>
      <c r="I2" s="3"/>
      <c r="J2" s="3"/>
      <c r="K2" s="3"/>
      <c r="L2" s="3"/>
      <c r="M2" s="3"/>
      <c r="N2" s="3"/>
      <c r="O2" s="4"/>
    </row>
    <row r="3" spans="2:15" ht="20.25" customHeight="1">
      <c r="B3" s="5"/>
      <c r="C3" s="345" t="s">
        <v>0</v>
      </c>
      <c r="D3" s="346"/>
      <c r="E3" s="346"/>
      <c r="F3" s="346"/>
      <c r="G3" s="346"/>
      <c r="H3" s="346"/>
      <c r="I3" s="346"/>
      <c r="J3" s="346"/>
      <c r="K3" s="346"/>
      <c r="L3" s="346"/>
      <c r="M3" s="346"/>
      <c r="N3" s="347"/>
      <c r="O3" s="6"/>
    </row>
    <row r="4" spans="2:15" ht="20.25" customHeight="1" thickBot="1">
      <c r="B4" s="5"/>
      <c r="C4" s="348"/>
      <c r="D4" s="349"/>
      <c r="E4" s="349"/>
      <c r="F4" s="349"/>
      <c r="G4" s="349"/>
      <c r="H4" s="349"/>
      <c r="I4" s="349"/>
      <c r="J4" s="349"/>
      <c r="K4" s="349"/>
      <c r="L4" s="349"/>
      <c r="M4" s="349"/>
      <c r="N4" s="350"/>
      <c r="O4" s="6"/>
    </row>
    <row r="5" spans="2:15" ht="15.75" thickBot="1">
      <c r="B5" s="5"/>
      <c r="C5" s="7"/>
      <c r="D5" s="7"/>
      <c r="E5" s="7"/>
      <c r="F5" s="7"/>
      <c r="G5" s="7"/>
      <c r="H5" s="7"/>
      <c r="I5" s="7"/>
      <c r="J5" s="7"/>
      <c r="K5" s="7"/>
      <c r="L5" s="7"/>
      <c r="M5" s="7"/>
      <c r="N5" s="7"/>
      <c r="O5" s="6"/>
    </row>
    <row r="6" spans="2:15" ht="15.75" thickBot="1">
      <c r="B6" s="5"/>
      <c r="C6" s="351" t="s">
        <v>1</v>
      </c>
      <c r="D6" s="352"/>
      <c r="E6" s="352"/>
      <c r="F6" s="352"/>
      <c r="G6" s="352"/>
      <c r="H6" s="352"/>
      <c r="I6" s="352"/>
      <c r="J6" s="352"/>
      <c r="K6" s="352"/>
      <c r="L6" s="352"/>
      <c r="M6" s="352"/>
      <c r="N6" s="353"/>
      <c r="O6" s="6"/>
    </row>
    <row r="7" spans="2:15" ht="15.75" thickBot="1">
      <c r="B7" s="5"/>
      <c r="C7" s="7"/>
      <c r="D7" s="7"/>
      <c r="E7" s="7"/>
      <c r="F7" s="7"/>
      <c r="G7" s="7"/>
      <c r="H7" s="7"/>
      <c r="I7" s="7"/>
      <c r="J7" s="7"/>
      <c r="K7" s="7"/>
      <c r="L7" s="7"/>
      <c r="M7" s="7"/>
      <c r="N7" s="7"/>
      <c r="O7" s="6"/>
    </row>
    <row r="8" spans="2:15">
      <c r="B8" s="5"/>
      <c r="C8" s="8" t="s">
        <v>2</v>
      </c>
      <c r="D8" s="9"/>
      <c r="E8" s="9"/>
      <c r="F8" s="9"/>
      <c r="G8" s="9"/>
      <c r="H8" s="9"/>
      <c r="I8" s="10"/>
      <c r="J8" s="354">
        <f>J9+12</f>
        <v>44785</v>
      </c>
      <c r="K8" s="354"/>
      <c r="L8" s="354"/>
      <c r="M8" s="354"/>
      <c r="N8" s="355"/>
      <c r="O8" s="6"/>
    </row>
    <row r="9" spans="2:15">
      <c r="B9" s="5"/>
      <c r="C9" s="11" t="s">
        <v>3</v>
      </c>
      <c r="D9" s="12"/>
      <c r="E9" s="12"/>
      <c r="F9" s="12"/>
      <c r="G9" s="12"/>
      <c r="H9" s="12"/>
      <c r="I9" s="13"/>
      <c r="J9" s="337">
        <f>'Servicer Report'!J9</f>
        <v>44773</v>
      </c>
      <c r="K9" s="337"/>
      <c r="L9" s="337"/>
      <c r="M9" s="337"/>
      <c r="N9" s="338"/>
      <c r="O9" s="6"/>
    </row>
    <row r="10" spans="2:15">
      <c r="B10" s="5"/>
      <c r="C10" s="339" t="s">
        <v>4</v>
      </c>
      <c r="D10" s="340"/>
      <c r="E10" s="356"/>
      <c r="F10" s="15" t="s">
        <v>5</v>
      </c>
      <c r="G10" s="12"/>
      <c r="H10" s="12"/>
      <c r="I10" s="13"/>
      <c r="J10" s="337">
        <f>'Servicer Report'!J10</f>
        <v>44681</v>
      </c>
      <c r="K10" s="337"/>
      <c r="L10" s="337"/>
      <c r="M10" s="337"/>
      <c r="N10" s="338"/>
      <c r="O10" s="6"/>
    </row>
    <row r="11" spans="2:15" ht="15" customHeight="1">
      <c r="B11" s="5"/>
      <c r="C11" s="342"/>
      <c r="D11" s="343"/>
      <c r="E11" s="341"/>
      <c r="F11" s="18" t="s">
        <v>6</v>
      </c>
      <c r="G11" s="12"/>
      <c r="H11" s="12"/>
      <c r="I11" s="13"/>
      <c r="J11" s="337">
        <f>'Servicer Report'!J11</f>
        <v>44773</v>
      </c>
      <c r="K11" s="337"/>
      <c r="L11" s="337"/>
      <c r="M11" s="337"/>
      <c r="N11" s="338"/>
      <c r="O11" s="6"/>
    </row>
    <row r="12" spans="2:15">
      <c r="B12" s="5"/>
      <c r="C12" s="16" t="s">
        <v>7</v>
      </c>
      <c r="D12" s="19"/>
      <c r="E12" s="20"/>
      <c r="F12" s="21"/>
      <c r="G12" s="12"/>
      <c r="H12" s="12"/>
      <c r="I12" s="13"/>
      <c r="J12" s="335">
        <f>J11-J10</f>
        <v>92</v>
      </c>
      <c r="K12" s="335"/>
      <c r="L12" s="335"/>
      <c r="M12" s="335"/>
      <c r="N12" s="336"/>
      <c r="O12" s="6"/>
    </row>
    <row r="13" spans="2:15">
      <c r="B13" s="5"/>
      <c r="C13" s="22" t="s">
        <v>8</v>
      </c>
      <c r="D13" s="21"/>
      <c r="E13" s="21"/>
      <c r="F13" s="21"/>
      <c r="G13" s="21"/>
      <c r="H13" s="21"/>
      <c r="I13" s="23"/>
      <c r="J13" s="337">
        <f>'Servicer Report'!J18</f>
        <v>44788</v>
      </c>
      <c r="K13" s="337"/>
      <c r="L13" s="337"/>
      <c r="M13" s="337"/>
      <c r="N13" s="338"/>
      <c r="O13" s="6"/>
    </row>
    <row r="14" spans="2:15">
      <c r="B14" s="5"/>
      <c r="C14" s="339" t="s">
        <v>9</v>
      </c>
      <c r="D14" s="340"/>
      <c r="E14" s="341"/>
      <c r="F14" s="24" t="s">
        <v>10</v>
      </c>
      <c r="G14" s="21"/>
      <c r="H14" s="21"/>
      <c r="I14" s="23"/>
      <c r="J14" s="337">
        <f>'Servicer Report'!J17</f>
        <v>44697</v>
      </c>
      <c r="K14" s="337"/>
      <c r="L14" s="337"/>
      <c r="M14" s="337"/>
      <c r="N14" s="338"/>
      <c r="O14" s="6"/>
    </row>
    <row r="15" spans="2:15" ht="15" customHeight="1">
      <c r="B15" s="5"/>
      <c r="C15" s="342"/>
      <c r="D15" s="343"/>
      <c r="E15" s="344"/>
      <c r="F15" s="15" t="s">
        <v>11</v>
      </c>
      <c r="G15" s="21"/>
      <c r="H15" s="21"/>
      <c r="I15" s="23"/>
      <c r="J15" s="337">
        <f>J13</f>
        <v>44788</v>
      </c>
      <c r="K15" s="337"/>
      <c r="L15" s="337"/>
      <c r="M15" s="337"/>
      <c r="N15" s="338"/>
      <c r="O15" s="6"/>
    </row>
    <row r="16" spans="2:15">
      <c r="B16" s="5"/>
      <c r="C16" s="16" t="s">
        <v>12</v>
      </c>
      <c r="D16" s="17"/>
      <c r="E16" s="17"/>
      <c r="F16" s="21"/>
      <c r="G16" s="21"/>
      <c r="H16" s="21"/>
      <c r="I16" s="23"/>
      <c r="J16" s="335">
        <f>J15-J14</f>
        <v>91</v>
      </c>
      <c r="K16" s="335"/>
      <c r="L16" s="335"/>
      <c r="M16" s="335"/>
      <c r="N16" s="336"/>
      <c r="O16" s="6"/>
    </row>
    <row r="17" spans="2:17">
      <c r="B17" s="5"/>
      <c r="C17" s="25" t="s">
        <v>13</v>
      </c>
      <c r="D17" s="20"/>
      <c r="E17" s="20"/>
      <c r="F17" s="21"/>
      <c r="G17" s="21"/>
      <c r="H17" s="21"/>
      <c r="I17" s="23"/>
      <c r="J17" s="328">
        <f>SUM(G31:N31)</f>
        <v>1049000000</v>
      </c>
      <c r="K17" s="328"/>
      <c r="L17" s="328"/>
      <c r="M17" s="328"/>
      <c r="N17" s="329"/>
      <c r="O17" s="6"/>
    </row>
    <row r="18" spans="2:17">
      <c r="B18" s="5"/>
      <c r="C18" s="25" t="s">
        <v>14</v>
      </c>
      <c r="D18" s="20"/>
      <c r="E18" s="20"/>
      <c r="F18" s="21"/>
      <c r="G18" s="21"/>
      <c r="H18" s="21"/>
      <c r="I18" s="23"/>
      <c r="J18" s="328">
        <f>SUM(G35:N35)</f>
        <v>981314455</v>
      </c>
      <c r="K18" s="328"/>
      <c r="L18" s="328"/>
      <c r="M18" s="328"/>
      <c r="N18" s="329"/>
      <c r="O18" s="6"/>
      <c r="Q18" s="26"/>
    </row>
    <row r="19" spans="2:17">
      <c r="B19" s="5"/>
      <c r="C19" s="16" t="s">
        <v>15</v>
      </c>
      <c r="D19" s="17"/>
      <c r="E19" s="17"/>
      <c r="F19" s="12"/>
      <c r="G19" s="12"/>
      <c r="H19" s="12"/>
      <c r="I19" s="13"/>
      <c r="J19" s="328">
        <f>SUM(G40:N40)</f>
        <v>974646540</v>
      </c>
      <c r="K19" s="328"/>
      <c r="L19" s="328"/>
      <c r="M19" s="328"/>
      <c r="N19" s="329"/>
      <c r="O19" s="6"/>
    </row>
    <row r="20" spans="2:17" ht="15.75" thickBot="1">
      <c r="B20" s="5"/>
      <c r="C20" s="27" t="s">
        <v>16</v>
      </c>
      <c r="D20" s="28"/>
      <c r="E20" s="28"/>
      <c r="F20" s="28"/>
      <c r="G20" s="28"/>
      <c r="H20" s="28"/>
      <c r="I20" s="28"/>
      <c r="J20" s="330" t="s">
        <v>17</v>
      </c>
      <c r="K20" s="330"/>
      <c r="L20" s="330"/>
      <c r="M20" s="330"/>
      <c r="N20" s="331"/>
      <c r="O20" s="6"/>
    </row>
    <row r="21" spans="2:17" ht="15.75" thickBot="1">
      <c r="B21" s="5"/>
      <c r="C21" s="7"/>
      <c r="D21" s="7"/>
      <c r="E21" s="7"/>
      <c r="F21" s="7"/>
      <c r="G21" s="7"/>
      <c r="H21" s="7"/>
      <c r="I21" s="7"/>
      <c r="J21" s="7"/>
      <c r="K21" s="7"/>
      <c r="L21" s="7"/>
      <c r="M21" s="7"/>
      <c r="N21" s="7"/>
      <c r="O21" s="6"/>
    </row>
    <row r="22" spans="2:17">
      <c r="B22" s="5"/>
      <c r="C22" s="332" t="s">
        <v>18</v>
      </c>
      <c r="D22" s="333"/>
      <c r="E22" s="333"/>
      <c r="F22" s="333"/>
      <c r="G22" s="333"/>
      <c r="H22" s="333"/>
      <c r="I22" s="333"/>
      <c r="J22" s="333"/>
      <c r="K22" s="333"/>
      <c r="L22" s="333"/>
      <c r="M22" s="333"/>
      <c r="N22" s="334"/>
      <c r="O22" s="6"/>
    </row>
    <row r="23" spans="2:17">
      <c r="B23" s="5"/>
      <c r="C23" s="22" t="s">
        <v>19</v>
      </c>
      <c r="D23" s="29"/>
      <c r="E23" s="29"/>
      <c r="F23" s="29"/>
      <c r="G23" s="15" t="s">
        <v>20</v>
      </c>
      <c r="H23" s="15" t="s">
        <v>21</v>
      </c>
      <c r="I23" s="15" t="s">
        <v>22</v>
      </c>
      <c r="J23" s="15" t="s">
        <v>23</v>
      </c>
      <c r="K23" s="15" t="s">
        <v>24</v>
      </c>
      <c r="L23" s="15" t="s">
        <v>24</v>
      </c>
      <c r="M23" s="30" t="s">
        <v>25</v>
      </c>
      <c r="N23" s="31" t="s">
        <v>25</v>
      </c>
      <c r="O23" s="6"/>
    </row>
    <row r="24" spans="2:17">
      <c r="B24" s="5"/>
      <c r="C24" s="32" t="s">
        <v>26</v>
      </c>
      <c r="D24" s="33"/>
      <c r="E24" s="33"/>
      <c r="F24" s="33"/>
      <c r="G24" s="34" t="s">
        <v>27</v>
      </c>
      <c r="H24" s="34" t="s">
        <v>28</v>
      </c>
      <c r="I24" s="34" t="s">
        <v>29</v>
      </c>
      <c r="J24" s="34" t="s">
        <v>30</v>
      </c>
      <c r="K24" s="34" t="s">
        <v>31</v>
      </c>
      <c r="L24" s="34" t="s">
        <v>32</v>
      </c>
      <c r="M24" s="35" t="s">
        <v>33</v>
      </c>
      <c r="N24" s="36" t="s">
        <v>34</v>
      </c>
      <c r="O24" s="6"/>
    </row>
    <row r="25" spans="2:17">
      <c r="B25" s="5"/>
      <c r="C25" s="22" t="s">
        <v>35</v>
      </c>
      <c r="D25" s="29"/>
      <c r="E25" s="29"/>
      <c r="F25" s="29"/>
      <c r="G25" s="34" t="s">
        <v>36</v>
      </c>
      <c r="H25" s="34" t="s">
        <v>37</v>
      </c>
      <c r="I25" s="34" t="s">
        <v>38</v>
      </c>
      <c r="J25" s="34" t="s">
        <v>39</v>
      </c>
      <c r="K25" s="34" t="s">
        <v>40</v>
      </c>
      <c r="L25" s="34" t="s">
        <v>40</v>
      </c>
      <c r="M25" s="35" t="s">
        <v>41</v>
      </c>
      <c r="N25" s="37" t="s">
        <v>42</v>
      </c>
      <c r="O25" s="6"/>
    </row>
    <row r="26" spans="2:17">
      <c r="B26" s="5"/>
      <c r="C26" s="22" t="s">
        <v>43</v>
      </c>
      <c r="D26" s="29"/>
      <c r="E26" s="29"/>
      <c r="F26" s="29"/>
      <c r="G26" s="34" t="s">
        <v>44</v>
      </c>
      <c r="H26" s="34" t="s">
        <v>44</v>
      </c>
      <c r="I26" s="34" t="s">
        <v>44</v>
      </c>
      <c r="J26" s="34" t="s">
        <v>44</v>
      </c>
      <c r="K26" s="34" t="s">
        <v>44</v>
      </c>
      <c r="L26" s="34" t="s">
        <v>44</v>
      </c>
      <c r="M26" s="35" t="s">
        <v>44</v>
      </c>
      <c r="N26" s="37" t="s">
        <v>44</v>
      </c>
      <c r="O26" s="6"/>
    </row>
    <row r="27" spans="2:17">
      <c r="B27" s="5"/>
      <c r="C27" s="32" t="s">
        <v>45</v>
      </c>
      <c r="D27" s="33"/>
      <c r="E27" s="33"/>
      <c r="F27" s="33"/>
      <c r="G27" s="38">
        <v>1.55E-2</v>
      </c>
      <c r="H27" s="39">
        <v>1.7000000000000001E-2</v>
      </c>
      <c r="I27" s="39">
        <v>2.1999999999999999E-2</v>
      </c>
      <c r="J27" s="39">
        <v>2.35E-2</v>
      </c>
      <c r="K27" s="39">
        <v>2.5000000000000001E-2</v>
      </c>
      <c r="L27" s="39">
        <v>2.7400000000000001E-2</v>
      </c>
      <c r="M27" s="40">
        <v>3.7999999999999999E-2</v>
      </c>
      <c r="N27" s="41">
        <v>0.04</v>
      </c>
      <c r="O27" s="6"/>
    </row>
    <row r="28" spans="2:17">
      <c r="B28" s="5"/>
      <c r="C28" s="22" t="s">
        <v>46</v>
      </c>
      <c r="D28" s="29"/>
      <c r="E28" s="29"/>
      <c r="F28" s="29"/>
      <c r="G28" s="38">
        <f t="shared" ref="G28:N28" si="0">G27*1.3</f>
        <v>2.0150000000000001E-2</v>
      </c>
      <c r="H28" s="39">
        <f t="shared" si="0"/>
        <v>2.2100000000000002E-2</v>
      </c>
      <c r="I28" s="39">
        <f t="shared" si="0"/>
        <v>2.86E-2</v>
      </c>
      <c r="J28" s="39">
        <f t="shared" si="0"/>
        <v>3.0550000000000001E-2</v>
      </c>
      <c r="K28" s="39">
        <f t="shared" si="0"/>
        <v>3.2500000000000001E-2</v>
      </c>
      <c r="L28" s="39">
        <f t="shared" si="0"/>
        <v>3.5619999999999999E-2</v>
      </c>
      <c r="M28" s="40">
        <f t="shared" si="0"/>
        <v>4.9399999999999999E-2</v>
      </c>
      <c r="N28" s="41">
        <f t="shared" si="0"/>
        <v>5.2000000000000005E-2</v>
      </c>
      <c r="O28" s="6"/>
    </row>
    <row r="29" spans="2:17">
      <c r="B29" s="5"/>
      <c r="C29" s="22" t="s">
        <v>47</v>
      </c>
      <c r="D29" s="29"/>
      <c r="E29" s="29"/>
      <c r="F29" s="29"/>
      <c r="G29" s="184">
        <f>'Servicer Report'!$J$16</f>
        <v>4.5080000000000002E-2</v>
      </c>
      <c r="H29" s="185">
        <f>'Servicer Report'!$J$16</f>
        <v>4.5080000000000002E-2</v>
      </c>
      <c r="I29" s="185">
        <f>'Servicer Report'!$J$16</f>
        <v>4.5080000000000002E-2</v>
      </c>
      <c r="J29" s="185">
        <f>'Servicer Report'!$J$16</f>
        <v>4.5080000000000002E-2</v>
      </c>
      <c r="K29" s="185">
        <f>'Servicer Report'!$J$16</f>
        <v>4.5080000000000002E-2</v>
      </c>
      <c r="L29" s="185">
        <f>'Servicer Report'!$J$16</f>
        <v>4.5080000000000002E-2</v>
      </c>
      <c r="M29" s="185">
        <f>'Servicer Report'!$J$16</f>
        <v>4.5080000000000002E-2</v>
      </c>
      <c r="N29" s="186">
        <f>L29</f>
        <v>4.5080000000000002E-2</v>
      </c>
      <c r="O29" s="6"/>
    </row>
    <row r="30" spans="2:17">
      <c r="B30" s="5"/>
      <c r="C30" s="22" t="s">
        <v>48</v>
      </c>
      <c r="D30" s="29"/>
      <c r="E30" s="29"/>
      <c r="F30" s="29"/>
      <c r="G30" s="184">
        <f>G29+G27</f>
        <v>6.0580000000000002E-2</v>
      </c>
      <c r="H30" s="185">
        <f>H29+H27</f>
        <v>6.2080000000000003E-2</v>
      </c>
      <c r="I30" s="185">
        <f t="shared" ref="I30:L30" si="1">I29+I27</f>
        <v>6.7080000000000001E-2</v>
      </c>
      <c r="J30" s="185">
        <f t="shared" si="1"/>
        <v>6.8580000000000002E-2</v>
      </c>
      <c r="K30" s="185">
        <f t="shared" si="1"/>
        <v>7.0080000000000003E-2</v>
      </c>
      <c r="L30" s="185">
        <f t="shared" si="1"/>
        <v>7.2480000000000003E-2</v>
      </c>
      <c r="M30" s="187">
        <f>M29+M27</f>
        <v>8.3080000000000001E-2</v>
      </c>
      <c r="N30" s="186">
        <f>N29+N27</f>
        <v>8.5080000000000003E-2</v>
      </c>
      <c r="O30" s="6"/>
    </row>
    <row r="31" spans="2:17">
      <c r="B31" s="5"/>
      <c r="C31" s="32" t="s">
        <v>49</v>
      </c>
      <c r="D31" s="33"/>
      <c r="E31" s="33"/>
      <c r="F31" s="33"/>
      <c r="G31" s="42">
        <v>202000000</v>
      </c>
      <c r="H31" s="42">
        <v>27000000</v>
      </c>
      <c r="I31" s="42">
        <v>309000000</v>
      </c>
      <c r="J31" s="42">
        <v>283000000</v>
      </c>
      <c r="K31" s="42">
        <v>73000000</v>
      </c>
      <c r="L31" s="42">
        <v>118000000</v>
      </c>
      <c r="M31" s="43">
        <v>25000000</v>
      </c>
      <c r="N31" s="44">
        <v>12000000</v>
      </c>
      <c r="O31" s="6"/>
    </row>
    <row r="32" spans="2:17">
      <c r="B32" s="5"/>
      <c r="C32" s="22" t="s">
        <v>50</v>
      </c>
      <c r="D32" s="29"/>
      <c r="E32" s="29"/>
      <c r="F32" s="29"/>
      <c r="G32" s="38">
        <f t="shared" ref="G32:L32" si="2">G31/SUM($G$31:$N$31)</f>
        <v>0.19256434699714015</v>
      </c>
      <c r="H32" s="39">
        <f t="shared" si="2"/>
        <v>2.5738798856053385E-2</v>
      </c>
      <c r="I32" s="39">
        <f t="shared" si="2"/>
        <v>0.29456625357483318</v>
      </c>
      <c r="J32" s="39">
        <f t="shared" si="2"/>
        <v>0.2697807435653003</v>
      </c>
      <c r="K32" s="39">
        <f t="shared" si="2"/>
        <v>6.9590085795996182E-2</v>
      </c>
      <c r="L32" s="39">
        <f t="shared" si="2"/>
        <v>0.1124880838894185</v>
      </c>
      <c r="M32" s="40">
        <f>M31/SUM($E$31:$N$31)</f>
        <v>2.3832221163012392E-2</v>
      </c>
      <c r="N32" s="41">
        <f>N31/SUM($E$31:$N$31)</f>
        <v>1.1439466158245948E-2</v>
      </c>
      <c r="O32" s="6"/>
    </row>
    <row r="33" spans="2:15">
      <c r="B33" s="5"/>
      <c r="C33" s="22" t="s">
        <v>51</v>
      </c>
      <c r="D33" s="29"/>
      <c r="E33" s="29"/>
      <c r="F33" s="29"/>
      <c r="G33" s="38">
        <v>0.17294501565452905</v>
      </c>
      <c r="H33" s="39">
        <v>2.3116412983526159E-2</v>
      </c>
      <c r="I33" s="39">
        <v>0.26455450414479936</v>
      </c>
      <c r="J33" s="39">
        <v>0.24229425460510753</v>
      </c>
      <c r="K33" s="39">
        <v>6.2499931399904063E-2</v>
      </c>
      <c r="L33" s="39">
        <v>0.10102728637244766</v>
      </c>
      <c r="M33" s="40">
        <v>2.1404086095857557E-2</v>
      </c>
      <c r="N33" s="41">
        <v>1.0273961326011627E-2</v>
      </c>
      <c r="O33" s="6"/>
    </row>
    <row r="34" spans="2:15">
      <c r="B34" s="5"/>
      <c r="C34" s="45" t="s">
        <v>52</v>
      </c>
      <c r="D34" s="29"/>
      <c r="E34" s="29"/>
      <c r="F34" s="29"/>
      <c r="G34" s="39">
        <f>1-G33-H33</f>
        <v>0.8039385713619448</v>
      </c>
      <c r="H34" s="39">
        <f>1-G33-H33</f>
        <v>0.8039385713619448</v>
      </c>
      <c r="I34" s="39">
        <f>1-SUM(G33:J33)</f>
        <v>0.29708981261203793</v>
      </c>
      <c r="J34" s="39">
        <f>1-SUM(G33:J33)</f>
        <v>0.29708981261203793</v>
      </c>
      <c r="K34" s="39">
        <f>1-SUM(G33:L33)</f>
        <v>0.13356259483968624</v>
      </c>
      <c r="L34" s="39">
        <f>1-SUM(G33:L33)</f>
        <v>0.13356259483968624</v>
      </c>
      <c r="M34" s="40">
        <f>1-SUM(G33:N33)</f>
        <v>0.10188454741781705</v>
      </c>
      <c r="N34" s="46">
        <f>1-SUM(G33:N33)</f>
        <v>0.10188454741781705</v>
      </c>
      <c r="O34" s="6"/>
    </row>
    <row r="35" spans="2:15">
      <c r="B35" s="5"/>
      <c r="C35" s="22" t="s">
        <v>53</v>
      </c>
      <c r="D35" s="29"/>
      <c r="E35" s="29"/>
      <c r="F35" s="29"/>
      <c r="G35" s="42">
        <v>135778290.44244269</v>
      </c>
      <c r="H35" s="42">
        <v>25536164.557557303</v>
      </c>
      <c r="I35" s="42">
        <v>309000000</v>
      </c>
      <c r="J35" s="42">
        <v>283000000</v>
      </c>
      <c r="K35" s="42">
        <v>73000000</v>
      </c>
      <c r="L35" s="42">
        <v>118000000</v>
      </c>
      <c r="M35" s="43">
        <v>25000000</v>
      </c>
      <c r="N35" s="44">
        <v>12000000</v>
      </c>
      <c r="O35" s="6"/>
    </row>
    <row r="36" spans="2:15">
      <c r="B36" s="5"/>
      <c r="C36" s="22" t="s">
        <v>54</v>
      </c>
      <c r="D36" s="29"/>
      <c r="E36" s="29"/>
      <c r="F36" s="29"/>
      <c r="G36" s="42">
        <f>G35*G30*$J$16/365</f>
        <v>2050728.3396857239</v>
      </c>
      <c r="H36" s="47">
        <f>H35*H30*91/365</f>
        <v>395235.46222388314</v>
      </c>
      <c r="I36" s="47">
        <f t="shared" ref="I36:M36" si="3">I35*I30*$J$16/365</f>
        <v>5167732.9315068489</v>
      </c>
      <c r="J36" s="47">
        <f>J35*J30*91/365</f>
        <v>4838741.7534246575</v>
      </c>
      <c r="K36" s="47">
        <f t="shared" si="3"/>
        <v>1275456</v>
      </c>
      <c r="L36" s="47">
        <f>L35*L30*91/365</f>
        <v>2132302.0273972601</v>
      </c>
      <c r="M36" s="48">
        <f t="shared" si="3"/>
        <v>517827.39726027398</v>
      </c>
      <c r="N36" s="49">
        <f>N35*N30*91/365</f>
        <v>254540.71232876711</v>
      </c>
      <c r="O36" s="6"/>
    </row>
    <row r="37" spans="2:15">
      <c r="B37" s="5"/>
      <c r="C37" s="22" t="s">
        <v>55</v>
      </c>
      <c r="D37" s="29"/>
      <c r="E37" s="29"/>
      <c r="F37" s="29"/>
      <c r="G37" s="42">
        <f t="shared" ref="G37:N37" si="4">G36</f>
        <v>2050728.3396857239</v>
      </c>
      <c r="H37" s="47">
        <f t="shared" si="4"/>
        <v>395235.46222388314</v>
      </c>
      <c r="I37" s="47">
        <f t="shared" si="4"/>
        <v>5167732.9315068489</v>
      </c>
      <c r="J37" s="47">
        <f t="shared" si="4"/>
        <v>4838741.7534246575</v>
      </c>
      <c r="K37" s="47">
        <f t="shared" si="4"/>
        <v>1275456</v>
      </c>
      <c r="L37" s="47">
        <f t="shared" si="4"/>
        <v>2132302.0273972601</v>
      </c>
      <c r="M37" s="48">
        <f t="shared" si="4"/>
        <v>517827.39726027398</v>
      </c>
      <c r="N37" s="49">
        <f t="shared" si="4"/>
        <v>254540.71232876711</v>
      </c>
      <c r="O37" s="6"/>
    </row>
    <row r="38" spans="2:15">
      <c r="B38" s="5"/>
      <c r="C38" s="22" t="s">
        <v>56</v>
      </c>
      <c r="D38" s="29"/>
      <c r="E38" s="29"/>
      <c r="F38" s="29"/>
      <c r="G38" s="42">
        <f t="shared" ref="G38:N38" si="5">G36-G37</f>
        <v>0</v>
      </c>
      <c r="H38" s="47">
        <f t="shared" si="5"/>
        <v>0</v>
      </c>
      <c r="I38" s="47">
        <f t="shared" si="5"/>
        <v>0</v>
      </c>
      <c r="J38" s="47">
        <f t="shared" si="5"/>
        <v>0</v>
      </c>
      <c r="K38" s="47">
        <f t="shared" si="5"/>
        <v>0</v>
      </c>
      <c r="L38" s="47">
        <f t="shared" si="5"/>
        <v>0</v>
      </c>
      <c r="M38" s="48">
        <f t="shared" si="5"/>
        <v>0</v>
      </c>
      <c r="N38" s="49">
        <f t="shared" si="5"/>
        <v>0</v>
      </c>
      <c r="O38" s="6"/>
    </row>
    <row r="39" spans="2:15">
      <c r="B39" s="5"/>
      <c r="C39" s="22" t="s">
        <v>57</v>
      </c>
      <c r="D39" s="29"/>
      <c r="E39" s="29"/>
      <c r="F39" s="29"/>
      <c r="G39" s="42">
        <f>ROUND($F$163,0)*G35/SUM($G$35:$H$35)</f>
        <v>5612380.4870153777</v>
      </c>
      <c r="H39" s="42">
        <f>ROUND($F$163,0)*H35/SUM($G$35:$H$35)</f>
        <v>1055534.512984622</v>
      </c>
      <c r="I39" s="47">
        <v>0</v>
      </c>
      <c r="J39" s="47">
        <v>0</v>
      </c>
      <c r="K39" s="47">
        <v>0</v>
      </c>
      <c r="L39" s="47">
        <v>0</v>
      </c>
      <c r="M39" s="48">
        <v>0</v>
      </c>
      <c r="N39" s="49">
        <v>0</v>
      </c>
      <c r="O39" s="6"/>
    </row>
    <row r="40" spans="2:15">
      <c r="B40" s="5"/>
      <c r="C40" s="22" t="s">
        <v>58</v>
      </c>
      <c r="D40" s="29"/>
      <c r="E40" s="29"/>
      <c r="F40" s="29"/>
      <c r="G40" s="42">
        <f t="shared" ref="G40:N40" si="6">G35-G39</f>
        <v>130165909.9554273</v>
      </c>
      <c r="H40" s="47">
        <f t="shared" si="6"/>
        <v>24480630.044572681</v>
      </c>
      <c r="I40" s="47">
        <f t="shared" si="6"/>
        <v>309000000</v>
      </c>
      <c r="J40" s="47">
        <f t="shared" si="6"/>
        <v>283000000</v>
      </c>
      <c r="K40" s="47">
        <f t="shared" si="6"/>
        <v>73000000</v>
      </c>
      <c r="L40" s="47">
        <f t="shared" si="6"/>
        <v>118000000</v>
      </c>
      <c r="M40" s="48">
        <f t="shared" si="6"/>
        <v>25000000</v>
      </c>
      <c r="N40" s="49">
        <f t="shared" si="6"/>
        <v>12000000</v>
      </c>
      <c r="O40" s="6"/>
    </row>
    <row r="41" spans="2:15">
      <c r="B41" s="5"/>
      <c r="C41" s="45" t="s">
        <v>59</v>
      </c>
      <c r="D41" s="29"/>
      <c r="E41" s="29"/>
      <c r="F41" s="29"/>
      <c r="G41" s="50">
        <f t="shared" ref="G41:N41" si="7">G40/SUM($G$40:$N$40)</f>
        <v>0.1335519130406263</v>
      </c>
      <c r="H41" s="50">
        <f t="shared" si="7"/>
        <v>2.5117444160395502E-2</v>
      </c>
      <c r="I41" s="50">
        <f t="shared" si="7"/>
        <v>0.31703801051815156</v>
      </c>
      <c r="J41" s="50">
        <f t="shared" si="7"/>
        <v>0.29036167306354976</v>
      </c>
      <c r="K41" s="50">
        <f t="shared" si="7"/>
        <v>7.4898947468689525E-2</v>
      </c>
      <c r="L41" s="50">
        <f t="shared" si="7"/>
        <v>0.121069531524731</v>
      </c>
      <c r="M41" s="51">
        <f t="shared" si="7"/>
        <v>2.5650324475578603E-2</v>
      </c>
      <c r="N41" s="46">
        <f t="shared" si="7"/>
        <v>1.231215574827773E-2</v>
      </c>
      <c r="O41" s="6"/>
    </row>
    <row r="42" spans="2:15">
      <c r="B42" s="5"/>
      <c r="C42" s="45" t="s">
        <v>60</v>
      </c>
      <c r="D42" s="29"/>
      <c r="E42" s="29"/>
      <c r="F42" s="29"/>
      <c r="G42" s="39">
        <v>0.1150677374633616</v>
      </c>
      <c r="H42" s="39">
        <v>2.2881632265268272E-2</v>
      </c>
      <c r="I42" s="39">
        <v>0.2779143081338396</v>
      </c>
      <c r="J42" s="39">
        <v>0.25452993269215729</v>
      </c>
      <c r="K42" s="39">
        <v>6.5656131047800298E-2</v>
      </c>
      <c r="L42" s="39">
        <v>0.10612908854301965</v>
      </c>
      <c r="M42" s="40">
        <v>2.2484976386232976E-2</v>
      </c>
      <c r="N42" s="46">
        <v>1.079278866539183E-2</v>
      </c>
      <c r="O42" s="6"/>
    </row>
    <row r="43" spans="2:15">
      <c r="B43" s="5"/>
      <c r="C43" s="52" t="s">
        <v>61</v>
      </c>
      <c r="D43" s="29"/>
      <c r="E43" s="29"/>
      <c r="F43" s="29"/>
      <c r="G43" s="39">
        <f>1-G42-H42</f>
        <v>0.86205063027137008</v>
      </c>
      <c r="H43" s="39">
        <f>1-G42-H42</f>
        <v>0.86205063027137008</v>
      </c>
      <c r="I43" s="39">
        <f>1-SUM(G42:J42)</f>
        <v>0.32960638944537324</v>
      </c>
      <c r="J43" s="39">
        <f>1-SUM(G42:J42)</f>
        <v>0.32960638944537324</v>
      </c>
      <c r="K43" s="39">
        <f>1-SUM(G42:L42)</f>
        <v>0.1578211698545533</v>
      </c>
      <c r="L43" s="39">
        <f>1-SUM(G42:L42)</f>
        <v>0.1578211698545533</v>
      </c>
      <c r="M43" s="40">
        <f>1-SUM(G42:N42)</f>
        <v>0.12454340480292858</v>
      </c>
      <c r="N43" s="46">
        <f>1-SUM(G42:N42)</f>
        <v>0.12454340480292858</v>
      </c>
      <c r="O43" s="6"/>
    </row>
    <row r="44" spans="2:15">
      <c r="B44" s="5"/>
      <c r="C44" s="22" t="s">
        <v>62</v>
      </c>
      <c r="D44" s="29"/>
      <c r="E44" s="29"/>
      <c r="F44" s="29"/>
      <c r="G44" s="53">
        <v>52366</v>
      </c>
      <c r="H44" s="53">
        <v>52366</v>
      </c>
      <c r="I44" s="53">
        <v>52366</v>
      </c>
      <c r="J44" s="53">
        <v>52366</v>
      </c>
      <c r="K44" s="53">
        <v>52366</v>
      </c>
      <c r="L44" s="53">
        <v>52366</v>
      </c>
      <c r="M44" s="54">
        <v>52366</v>
      </c>
      <c r="N44" s="55">
        <v>52366</v>
      </c>
      <c r="O44" s="6"/>
    </row>
    <row r="45" spans="2:15">
      <c r="B45" s="5"/>
      <c r="C45" s="32" t="s">
        <v>63</v>
      </c>
      <c r="D45" s="33"/>
      <c r="E45" s="33"/>
      <c r="F45" s="33"/>
      <c r="G45" s="53">
        <v>45427</v>
      </c>
      <c r="H45" s="53">
        <v>45427</v>
      </c>
      <c r="I45" s="53">
        <v>46157</v>
      </c>
      <c r="J45" s="53">
        <v>46157</v>
      </c>
      <c r="K45" s="53">
        <v>46157</v>
      </c>
      <c r="L45" s="53">
        <v>46157</v>
      </c>
      <c r="M45" s="54">
        <v>46157</v>
      </c>
      <c r="N45" s="55">
        <v>46157</v>
      </c>
      <c r="O45" s="6"/>
    </row>
    <row r="46" spans="2:15">
      <c r="B46" s="5"/>
      <c r="C46" s="22" t="s">
        <v>64</v>
      </c>
      <c r="D46" s="29"/>
      <c r="E46" s="29"/>
      <c r="F46" s="29"/>
      <c r="G46" s="39">
        <v>5.7500000000000002E-2</v>
      </c>
      <c r="H46" s="50">
        <f>I46</f>
        <v>5.7500000000000002E-2</v>
      </c>
      <c r="I46" s="50">
        <f>G46</f>
        <v>5.7500000000000002E-2</v>
      </c>
      <c r="J46" s="50">
        <f>H46</f>
        <v>5.7500000000000002E-2</v>
      </c>
      <c r="K46" s="50">
        <f>I46</f>
        <v>5.7500000000000002E-2</v>
      </c>
      <c r="L46" s="50">
        <f>H46</f>
        <v>5.7500000000000002E-2</v>
      </c>
      <c r="M46" s="51">
        <f>K46</f>
        <v>5.7500000000000002E-2</v>
      </c>
      <c r="N46" s="46">
        <f>L46</f>
        <v>5.7500000000000002E-2</v>
      </c>
      <c r="O46" s="6"/>
    </row>
    <row r="47" spans="2:15">
      <c r="B47" s="5"/>
      <c r="C47" s="32" t="s">
        <v>65</v>
      </c>
      <c r="D47" s="33"/>
      <c r="E47" s="33"/>
      <c r="F47" s="33"/>
      <c r="G47" s="50">
        <f t="shared" ref="G47:N47" si="8">G46+G27</f>
        <v>7.3000000000000009E-2</v>
      </c>
      <c r="H47" s="50">
        <f t="shared" si="8"/>
        <v>7.4500000000000011E-2</v>
      </c>
      <c r="I47" s="50">
        <f t="shared" si="8"/>
        <v>7.9500000000000001E-2</v>
      </c>
      <c r="J47" s="50">
        <f t="shared" si="8"/>
        <v>8.1000000000000003E-2</v>
      </c>
      <c r="K47" s="50">
        <f t="shared" si="8"/>
        <v>8.2500000000000004E-2</v>
      </c>
      <c r="L47" s="50">
        <f t="shared" si="8"/>
        <v>8.4900000000000003E-2</v>
      </c>
      <c r="M47" s="51">
        <f t="shared" si="8"/>
        <v>9.5500000000000002E-2</v>
      </c>
      <c r="N47" s="46">
        <f t="shared" si="8"/>
        <v>9.7500000000000003E-2</v>
      </c>
      <c r="O47" s="6"/>
    </row>
    <row r="48" spans="2:15">
      <c r="B48" s="5"/>
      <c r="C48" s="22" t="s">
        <v>66</v>
      </c>
      <c r="D48" s="29"/>
      <c r="E48" s="29"/>
      <c r="F48" s="29"/>
      <c r="G48" s="56" t="s">
        <v>67</v>
      </c>
      <c r="H48" s="56" t="s">
        <v>67</v>
      </c>
      <c r="I48" s="56" t="s">
        <v>68</v>
      </c>
      <c r="J48" s="56" t="s">
        <v>68</v>
      </c>
      <c r="K48" s="56" t="s">
        <v>69</v>
      </c>
      <c r="L48" s="56" t="s">
        <v>69</v>
      </c>
      <c r="M48" s="57" t="s">
        <v>70</v>
      </c>
      <c r="N48" s="58" t="s">
        <v>70</v>
      </c>
      <c r="O48" s="6"/>
    </row>
    <row r="49" spans="2:24" ht="15.75" thickBot="1">
      <c r="B49" s="5"/>
      <c r="C49" s="59" t="s">
        <v>71</v>
      </c>
      <c r="D49" s="60"/>
      <c r="E49" s="60"/>
      <c r="F49" s="60"/>
      <c r="G49" s="61" t="str">
        <f t="shared" ref="G49:N49" si="9">G48</f>
        <v>AAA(za)(sf)</v>
      </c>
      <c r="H49" s="61" t="str">
        <f t="shared" si="9"/>
        <v>AAA(za)(sf)</v>
      </c>
      <c r="I49" s="61" t="str">
        <f t="shared" si="9"/>
        <v>AA+(za)(sf)</v>
      </c>
      <c r="J49" s="61" t="str">
        <f t="shared" si="9"/>
        <v>AA+(za)(sf)</v>
      </c>
      <c r="K49" s="61" t="str">
        <f t="shared" si="9"/>
        <v>A-(za)(sf)</v>
      </c>
      <c r="L49" s="61" t="str">
        <f t="shared" si="9"/>
        <v>A-(za)(sf)</v>
      </c>
      <c r="M49" s="62" t="str">
        <f t="shared" si="9"/>
        <v>BBB(za)(sf)</v>
      </c>
      <c r="N49" s="63" t="str">
        <f t="shared" si="9"/>
        <v>BBB(za)(sf)</v>
      </c>
      <c r="O49" s="6"/>
    </row>
    <row r="50" spans="2:24" ht="15.75" thickBot="1">
      <c r="B50" s="5"/>
      <c r="C50" s="7"/>
      <c r="D50" s="7"/>
      <c r="E50" s="7"/>
      <c r="F50" s="7"/>
      <c r="G50" s="7"/>
      <c r="H50" s="7"/>
      <c r="I50" s="7"/>
      <c r="J50" s="7"/>
      <c r="K50" s="7"/>
      <c r="L50" s="7"/>
      <c r="M50" s="7"/>
      <c r="N50" s="7"/>
      <c r="O50" s="6"/>
      <c r="Q50" s="26"/>
    </row>
    <row r="51" spans="2:24">
      <c r="B51" s="5"/>
      <c r="C51" s="258" t="s">
        <v>72</v>
      </c>
      <c r="D51" s="259"/>
      <c r="E51" s="259"/>
      <c r="F51" s="259"/>
      <c r="G51" s="259"/>
      <c r="H51" s="259"/>
      <c r="I51" s="259"/>
      <c r="J51" s="259"/>
      <c r="K51" s="259"/>
      <c r="L51" s="259"/>
      <c r="M51" s="259"/>
      <c r="N51" s="260"/>
      <c r="O51" s="6"/>
    </row>
    <row r="52" spans="2:24">
      <c r="B52" s="5"/>
      <c r="C52" s="317" t="s">
        <v>73</v>
      </c>
      <c r="D52" s="318"/>
      <c r="E52" s="318"/>
      <c r="F52" s="318"/>
      <c r="G52" s="318"/>
      <c r="H52" s="318"/>
      <c r="I52" s="318"/>
      <c r="J52" s="318"/>
      <c r="K52" s="318"/>
      <c r="L52" s="318"/>
      <c r="M52" s="318"/>
      <c r="N52" s="319"/>
      <c r="O52" s="6"/>
      <c r="U52" s="64"/>
    </row>
    <row r="53" spans="2:24">
      <c r="B53" s="5"/>
      <c r="C53" s="65" t="s">
        <v>74</v>
      </c>
      <c r="D53" s="66"/>
      <c r="E53" s="66"/>
      <c r="F53" s="66"/>
      <c r="G53" s="66"/>
      <c r="H53" s="66"/>
      <c r="I53" s="67"/>
      <c r="J53" s="322">
        <v>61242490.417918906</v>
      </c>
      <c r="K53" s="323"/>
      <c r="L53" s="323"/>
      <c r="M53" s="323"/>
      <c r="N53" s="324"/>
      <c r="O53" s="6"/>
      <c r="Q53" s="64"/>
      <c r="R53" s="68"/>
      <c r="U53" s="64"/>
      <c r="V53" s="64"/>
      <c r="W53" s="64"/>
      <c r="X53" s="68"/>
    </row>
    <row r="54" spans="2:24">
      <c r="B54" s="5"/>
      <c r="C54" s="22" t="s">
        <v>75</v>
      </c>
      <c r="D54" s="29"/>
      <c r="E54" s="29"/>
      <c r="F54" s="29"/>
      <c r="G54" s="29"/>
      <c r="H54" s="29"/>
      <c r="I54" s="69"/>
      <c r="J54" s="322">
        <v>32965063.179999996</v>
      </c>
      <c r="K54" s="323"/>
      <c r="L54" s="323"/>
      <c r="M54" s="323"/>
      <c r="N54" s="324"/>
      <c r="O54" s="6"/>
      <c r="R54" s="26"/>
    </row>
    <row r="55" spans="2:24">
      <c r="B55" s="5"/>
      <c r="C55" s="65" t="s">
        <v>76</v>
      </c>
      <c r="D55" s="66"/>
      <c r="E55" s="66"/>
      <c r="F55" s="66"/>
      <c r="G55" s="66"/>
      <c r="H55" s="66"/>
      <c r="I55" s="66"/>
      <c r="J55" s="312">
        <f>SUM(J56:M58)</f>
        <v>28277427.23791891</v>
      </c>
      <c r="K55" s="313"/>
      <c r="L55" s="313"/>
      <c r="M55" s="313"/>
      <c r="N55" s="314"/>
      <c r="O55" s="6"/>
      <c r="R55" s="26"/>
    </row>
    <row r="56" spans="2:24">
      <c r="B56" s="5"/>
      <c r="C56" s="52" t="s">
        <v>77</v>
      </c>
      <c r="D56" s="33"/>
      <c r="E56" s="33"/>
      <c r="F56" s="33"/>
      <c r="G56" s="33"/>
      <c r="H56" s="33"/>
      <c r="I56" s="33"/>
      <c r="J56" s="265">
        <f>J53-J54-J58</f>
        <v>3607757.4924189113</v>
      </c>
      <c r="K56" s="266"/>
      <c r="L56" s="266"/>
      <c r="M56" s="266"/>
      <c r="N56" s="6"/>
      <c r="O56" s="6"/>
    </row>
    <row r="57" spans="2:24">
      <c r="B57" s="5"/>
      <c r="C57" s="52" t="s">
        <v>78</v>
      </c>
      <c r="D57" s="33"/>
      <c r="E57" s="33"/>
      <c r="F57" s="33"/>
      <c r="G57" s="33"/>
      <c r="H57" s="33"/>
      <c r="I57" s="33"/>
      <c r="J57" s="265">
        <v>0</v>
      </c>
      <c r="K57" s="266"/>
      <c r="L57" s="266"/>
      <c r="M57" s="266"/>
      <c r="N57" s="6"/>
      <c r="O57" s="6"/>
    </row>
    <row r="58" spans="2:24">
      <c r="B58" s="5"/>
      <c r="C58" s="52" t="s">
        <v>79</v>
      </c>
      <c r="D58" s="33"/>
      <c r="E58" s="33"/>
      <c r="F58" s="33"/>
      <c r="G58" s="33"/>
      <c r="H58" s="33"/>
      <c r="I58" s="33"/>
      <c r="J58" s="267">
        <v>24669669.745499998</v>
      </c>
      <c r="K58" s="268"/>
      <c r="L58" s="268"/>
      <c r="M58" s="268"/>
      <c r="N58" s="6"/>
      <c r="O58" s="6"/>
    </row>
    <row r="59" spans="2:24">
      <c r="B59" s="5"/>
      <c r="C59" s="317" t="s">
        <v>80</v>
      </c>
      <c r="D59" s="318"/>
      <c r="E59" s="318"/>
      <c r="F59" s="318"/>
      <c r="G59" s="318"/>
      <c r="H59" s="318"/>
      <c r="I59" s="318"/>
      <c r="J59" s="318"/>
      <c r="K59" s="318"/>
      <c r="L59" s="318"/>
      <c r="M59" s="318"/>
      <c r="N59" s="319"/>
      <c r="O59" s="6"/>
    </row>
    <row r="60" spans="2:24">
      <c r="B60" s="5"/>
      <c r="C60" s="65" t="s">
        <v>81</v>
      </c>
      <c r="D60" s="66"/>
      <c r="E60" s="66"/>
      <c r="F60" s="66"/>
      <c r="G60" s="66"/>
      <c r="H60" s="66"/>
      <c r="I60" s="66"/>
      <c r="J60" s="325">
        <f>SUM(J61:M62)</f>
        <v>0</v>
      </c>
      <c r="K60" s="326"/>
      <c r="L60" s="326"/>
      <c r="M60" s="326"/>
      <c r="N60" s="327"/>
      <c r="O60" s="6"/>
    </row>
    <row r="61" spans="2:24">
      <c r="B61" s="5"/>
      <c r="C61" s="52" t="s">
        <v>82</v>
      </c>
      <c r="D61" s="33"/>
      <c r="E61" s="33"/>
      <c r="F61" s="33"/>
      <c r="G61" s="33"/>
      <c r="H61" s="33"/>
      <c r="I61" s="33"/>
      <c r="J61" s="265">
        <v>0</v>
      </c>
      <c r="K61" s="266"/>
      <c r="L61" s="266"/>
      <c r="M61" s="266"/>
      <c r="N61" s="70"/>
      <c r="O61" s="6"/>
    </row>
    <row r="62" spans="2:24">
      <c r="B62" s="5"/>
      <c r="C62" s="52" t="s">
        <v>83</v>
      </c>
      <c r="D62" s="33"/>
      <c r="E62" s="33"/>
      <c r="F62" s="33"/>
      <c r="G62" s="33"/>
      <c r="H62" s="33"/>
      <c r="I62" s="33"/>
      <c r="J62" s="267">
        <v>0</v>
      </c>
      <c r="K62" s="268"/>
      <c r="L62" s="268"/>
      <c r="M62" s="268"/>
      <c r="N62" s="70"/>
      <c r="O62" s="6"/>
    </row>
    <row r="63" spans="2:24">
      <c r="B63" s="5"/>
      <c r="C63" s="65" t="s">
        <v>84</v>
      </c>
      <c r="D63" s="66"/>
      <c r="E63" s="66"/>
      <c r="F63" s="66"/>
      <c r="G63" s="66"/>
      <c r="H63" s="66"/>
      <c r="I63" s="67"/>
      <c r="J63" s="325">
        <f>SUM(J64:M65)</f>
        <v>364858.80999999994</v>
      </c>
      <c r="K63" s="326"/>
      <c r="L63" s="326"/>
      <c r="M63" s="326"/>
      <c r="N63" s="327"/>
      <c r="O63" s="6"/>
      <c r="R63" s="26"/>
    </row>
    <row r="64" spans="2:24">
      <c r="B64" s="5"/>
      <c r="C64" s="52" t="s">
        <v>85</v>
      </c>
      <c r="D64" s="33"/>
      <c r="E64" s="33"/>
      <c r="F64" s="33"/>
      <c r="G64" s="33"/>
      <c r="H64" s="33"/>
      <c r="I64" s="71"/>
      <c r="J64" s="265">
        <v>364858.80999999994</v>
      </c>
      <c r="K64" s="266"/>
      <c r="L64" s="266"/>
      <c r="M64" s="266"/>
      <c r="N64" s="70"/>
      <c r="O64" s="6"/>
    </row>
    <row r="65" spans="2:18">
      <c r="B65" s="5"/>
      <c r="C65" s="72" t="s">
        <v>86</v>
      </c>
      <c r="D65" s="73"/>
      <c r="E65" s="73"/>
      <c r="F65" s="73"/>
      <c r="G65" s="73"/>
      <c r="H65" s="73"/>
      <c r="I65" s="74"/>
      <c r="J65" s="320">
        <v>0</v>
      </c>
      <c r="K65" s="321"/>
      <c r="L65" s="321"/>
      <c r="M65" s="321"/>
      <c r="N65" s="70"/>
      <c r="O65" s="6"/>
    </row>
    <row r="66" spans="2:18">
      <c r="B66" s="5"/>
      <c r="C66" s="65" t="s">
        <v>87</v>
      </c>
      <c r="D66" s="66"/>
      <c r="E66" s="66"/>
      <c r="F66" s="66"/>
      <c r="G66" s="66"/>
      <c r="H66" s="66"/>
      <c r="I66" s="67"/>
      <c r="J66" s="325">
        <f>SUM(J67:M69,J72,J75:M78)</f>
        <v>42276337.166859701</v>
      </c>
      <c r="K66" s="326"/>
      <c r="L66" s="326"/>
      <c r="M66" s="326"/>
      <c r="N66" s="327"/>
      <c r="O66" s="6"/>
      <c r="R66" s="26"/>
    </row>
    <row r="67" spans="2:18">
      <c r="B67" s="5"/>
      <c r="C67" s="52" t="s">
        <v>88</v>
      </c>
      <c r="D67" s="33"/>
      <c r="E67" s="33"/>
      <c r="F67" s="33"/>
      <c r="G67" s="33"/>
      <c r="H67" s="33"/>
      <c r="I67" s="71"/>
      <c r="J67" s="265">
        <f>'Servicer Report'!J39</f>
        <v>10879998.880000006</v>
      </c>
      <c r="K67" s="266"/>
      <c r="L67" s="266"/>
      <c r="M67" s="266"/>
      <c r="N67" s="75"/>
      <c r="O67" s="6"/>
    </row>
    <row r="68" spans="2:18">
      <c r="B68" s="5"/>
      <c r="C68" s="52" t="s">
        <v>89</v>
      </c>
      <c r="D68" s="33"/>
      <c r="E68" s="33"/>
      <c r="F68" s="33"/>
      <c r="G68" s="33"/>
      <c r="H68" s="33"/>
      <c r="I68" s="71"/>
      <c r="J68" s="265">
        <f>'Servicer Report'!J42</f>
        <v>746355.69</v>
      </c>
      <c r="K68" s="266"/>
      <c r="L68" s="266"/>
      <c r="M68" s="266"/>
      <c r="N68" s="75"/>
      <c r="O68" s="6"/>
    </row>
    <row r="69" spans="2:18">
      <c r="B69" s="5"/>
      <c r="C69" s="52" t="s">
        <v>90</v>
      </c>
      <c r="D69" s="33"/>
      <c r="E69" s="33"/>
      <c r="F69" s="33"/>
      <c r="G69" s="33"/>
      <c r="H69" s="33"/>
      <c r="I69" s="71"/>
      <c r="J69" s="265">
        <f>SUM(J70:L71)</f>
        <v>0</v>
      </c>
      <c r="K69" s="266"/>
      <c r="L69" s="266"/>
      <c r="M69" s="266"/>
      <c r="N69" s="75"/>
      <c r="O69" s="6"/>
    </row>
    <row r="70" spans="2:18">
      <c r="B70" s="5"/>
      <c r="C70" s="76" t="s">
        <v>91</v>
      </c>
      <c r="D70" s="33"/>
      <c r="E70" s="33"/>
      <c r="F70" s="33"/>
      <c r="G70" s="33"/>
      <c r="H70" s="33"/>
      <c r="I70" s="71"/>
      <c r="J70" s="265">
        <v>0</v>
      </c>
      <c r="K70" s="266"/>
      <c r="L70" s="266"/>
      <c r="M70" s="77"/>
      <c r="N70" s="75"/>
      <c r="O70" s="6"/>
    </row>
    <row r="71" spans="2:18">
      <c r="B71" s="5"/>
      <c r="C71" s="76" t="s">
        <v>92</v>
      </c>
      <c r="D71" s="33"/>
      <c r="E71" s="33"/>
      <c r="F71" s="33"/>
      <c r="G71" s="33"/>
      <c r="H71" s="33"/>
      <c r="I71" s="71"/>
      <c r="J71" s="265">
        <v>0</v>
      </c>
      <c r="K71" s="266"/>
      <c r="L71" s="266"/>
      <c r="M71" s="77"/>
      <c r="N71" s="75"/>
      <c r="O71" s="6"/>
    </row>
    <row r="72" spans="2:18">
      <c r="B72" s="5"/>
      <c r="C72" s="52" t="s">
        <v>93</v>
      </c>
      <c r="D72" s="33"/>
      <c r="E72" s="33"/>
      <c r="F72" s="33"/>
      <c r="G72" s="33"/>
      <c r="H72" s="33"/>
      <c r="I72" s="71"/>
      <c r="J72" s="265">
        <f>SUM(J73:L74)</f>
        <v>0</v>
      </c>
      <c r="K72" s="266"/>
      <c r="L72" s="266"/>
      <c r="M72" s="266"/>
      <c r="N72" s="75"/>
      <c r="O72" s="6"/>
    </row>
    <row r="73" spans="2:18">
      <c r="B73" s="5"/>
      <c r="C73" s="76" t="s">
        <v>91</v>
      </c>
      <c r="D73" s="33"/>
      <c r="E73" s="33"/>
      <c r="F73" s="33"/>
      <c r="G73" s="33"/>
      <c r="H73" s="33"/>
      <c r="I73" s="71"/>
      <c r="J73" s="265">
        <v>0</v>
      </c>
      <c r="K73" s="266"/>
      <c r="L73" s="266"/>
      <c r="M73" s="77"/>
      <c r="N73" s="75"/>
      <c r="O73" s="6"/>
    </row>
    <row r="74" spans="2:18">
      <c r="B74" s="5"/>
      <c r="C74" s="76" t="s">
        <v>92</v>
      </c>
      <c r="D74" s="33"/>
      <c r="E74" s="33"/>
      <c r="F74" s="33"/>
      <c r="G74" s="33"/>
      <c r="H74" s="33"/>
      <c r="I74" s="71"/>
      <c r="J74" s="265">
        <v>0</v>
      </c>
      <c r="K74" s="266"/>
      <c r="L74" s="266"/>
      <c r="M74" s="77"/>
      <c r="N74" s="75"/>
      <c r="O74" s="6"/>
    </row>
    <row r="75" spans="2:18">
      <c r="B75" s="5"/>
      <c r="C75" s="52" t="s">
        <v>94</v>
      </c>
      <c r="D75" s="33"/>
      <c r="E75" s="33"/>
      <c r="F75" s="33"/>
      <c r="G75" s="33"/>
      <c r="H75" s="33"/>
      <c r="I75" s="71"/>
      <c r="J75" s="265">
        <f>'Servicer Report'!J46</f>
        <v>0</v>
      </c>
      <c r="K75" s="266"/>
      <c r="L75" s="266"/>
      <c r="M75" s="266"/>
      <c r="N75" s="75"/>
      <c r="O75" s="6"/>
    </row>
    <row r="76" spans="2:18">
      <c r="B76" s="5"/>
      <c r="C76" s="52" t="s">
        <v>95</v>
      </c>
      <c r="D76" s="33"/>
      <c r="E76" s="33"/>
      <c r="F76" s="33"/>
      <c r="G76" s="33"/>
      <c r="H76" s="33"/>
      <c r="I76" s="71"/>
      <c r="J76" s="265">
        <f>'Servicer Report'!J40</f>
        <v>29515029.120000008</v>
      </c>
      <c r="K76" s="266"/>
      <c r="L76" s="266"/>
      <c r="M76" s="266"/>
      <c r="N76" s="75"/>
      <c r="O76" s="6"/>
    </row>
    <row r="77" spans="2:18">
      <c r="B77" s="5"/>
      <c r="C77" s="52" t="s">
        <v>96</v>
      </c>
      <c r="D77" s="33"/>
      <c r="E77" s="33"/>
      <c r="F77" s="33"/>
      <c r="G77" s="33"/>
      <c r="H77" s="33"/>
      <c r="I77" s="71"/>
      <c r="J77" s="265">
        <f>'Servicer Report'!J41</f>
        <v>0</v>
      </c>
      <c r="K77" s="266"/>
      <c r="L77" s="266"/>
      <c r="M77" s="266"/>
      <c r="N77" s="75"/>
      <c r="O77" s="6"/>
    </row>
    <row r="78" spans="2:18">
      <c r="B78" s="5"/>
      <c r="C78" s="72" t="s">
        <v>97</v>
      </c>
      <c r="D78" s="73"/>
      <c r="E78" s="73"/>
      <c r="F78" s="73"/>
      <c r="G78" s="73"/>
      <c r="H78" s="73"/>
      <c r="I78" s="74"/>
      <c r="J78" s="320">
        <v>1134953.476859685</v>
      </c>
      <c r="K78" s="321"/>
      <c r="L78" s="321"/>
      <c r="M78" s="321"/>
      <c r="N78" s="78"/>
      <c r="O78" s="6"/>
    </row>
    <row r="79" spans="2:18">
      <c r="B79" s="5"/>
      <c r="C79" s="79" t="s">
        <v>98</v>
      </c>
      <c r="D79" s="66"/>
      <c r="E79" s="66"/>
      <c r="F79" s="66"/>
      <c r="G79" s="66"/>
      <c r="H79" s="66"/>
      <c r="I79" s="67"/>
      <c r="J79" s="322">
        <v>0</v>
      </c>
      <c r="K79" s="323"/>
      <c r="L79" s="323"/>
      <c r="M79" s="323"/>
      <c r="N79" s="324"/>
      <c r="O79" s="6"/>
    </row>
    <row r="80" spans="2:18">
      <c r="B80" s="5"/>
      <c r="C80" s="317" t="s">
        <v>99</v>
      </c>
      <c r="D80" s="318"/>
      <c r="E80" s="318"/>
      <c r="F80" s="318"/>
      <c r="G80" s="318"/>
      <c r="H80" s="318"/>
      <c r="I80" s="318"/>
      <c r="J80" s="318"/>
      <c r="K80" s="318"/>
      <c r="L80" s="318"/>
      <c r="M80" s="318"/>
      <c r="N80" s="319"/>
      <c r="O80" s="6"/>
    </row>
    <row r="81" spans="2:20">
      <c r="B81" s="5"/>
      <c r="C81" s="79" t="s">
        <v>100</v>
      </c>
      <c r="D81" s="66"/>
      <c r="E81" s="66"/>
      <c r="F81" s="66"/>
      <c r="G81" s="66"/>
      <c r="H81" s="66"/>
      <c r="I81" s="66"/>
      <c r="J81" s="312">
        <f>SUM(J82:M84,J87:M90)</f>
        <v>4958439.4100000188</v>
      </c>
      <c r="K81" s="313"/>
      <c r="L81" s="313"/>
      <c r="M81" s="313"/>
      <c r="N81" s="314"/>
      <c r="O81" s="6"/>
      <c r="P81" s="68"/>
      <c r="Q81" s="80"/>
    </row>
    <row r="82" spans="2:20">
      <c r="B82" s="5"/>
      <c r="C82" s="52" t="s">
        <v>101</v>
      </c>
      <c r="D82" s="33"/>
      <c r="E82" s="33"/>
      <c r="F82" s="33"/>
      <c r="G82" s="33"/>
      <c r="H82" s="33"/>
      <c r="I82" s="33"/>
      <c r="J82" s="265">
        <v>0</v>
      </c>
      <c r="K82" s="266"/>
      <c r="L82" s="266"/>
      <c r="M82" s="266"/>
      <c r="N82" s="81"/>
      <c r="O82" s="6"/>
    </row>
    <row r="83" spans="2:20">
      <c r="B83" s="5"/>
      <c r="C83" s="52" t="s">
        <v>102</v>
      </c>
      <c r="D83" s="33"/>
      <c r="E83" s="33"/>
      <c r="F83" s="33"/>
      <c r="G83" s="33"/>
      <c r="H83" s="33"/>
      <c r="I83" s="33"/>
      <c r="J83" s="265">
        <f>'Servicer Report'!J28-'Servicer Report'!J47</f>
        <v>2730883.5900000185</v>
      </c>
      <c r="K83" s="266"/>
      <c r="L83" s="266"/>
      <c r="M83" s="266"/>
      <c r="N83" s="81"/>
      <c r="O83" s="6"/>
    </row>
    <row r="84" spans="2:20">
      <c r="B84" s="5"/>
      <c r="C84" s="52" t="s">
        <v>103</v>
      </c>
      <c r="D84" s="33"/>
      <c r="E84" s="33"/>
      <c r="F84" s="33"/>
      <c r="G84" s="33"/>
      <c r="H84" s="33"/>
      <c r="I84" s="33"/>
      <c r="J84" s="265">
        <f>SUM(J85:L86)</f>
        <v>0</v>
      </c>
      <c r="K84" s="266"/>
      <c r="L84" s="266"/>
      <c r="M84" s="266"/>
      <c r="N84" s="81"/>
      <c r="O84" s="6"/>
    </row>
    <row r="85" spans="2:20">
      <c r="B85" s="5"/>
      <c r="C85" s="76" t="s">
        <v>104</v>
      </c>
      <c r="D85" s="33"/>
      <c r="E85" s="33"/>
      <c r="F85" s="33"/>
      <c r="G85" s="33"/>
      <c r="H85" s="33"/>
      <c r="I85" s="33"/>
      <c r="J85" s="265">
        <f>'Servicer Report'!J27</f>
        <v>0</v>
      </c>
      <c r="K85" s="266"/>
      <c r="L85" s="266"/>
      <c r="M85" s="82"/>
      <c r="N85" s="81"/>
      <c r="O85" s="6"/>
    </row>
    <row r="86" spans="2:20">
      <c r="B86" s="5"/>
      <c r="C86" s="76" t="s">
        <v>105</v>
      </c>
      <c r="D86" s="33"/>
      <c r="E86" s="33"/>
      <c r="F86" s="33"/>
      <c r="G86" s="33"/>
      <c r="H86" s="33"/>
      <c r="I86" s="33"/>
      <c r="J86" s="265">
        <v>0</v>
      </c>
      <c r="K86" s="266"/>
      <c r="L86" s="266"/>
      <c r="M86" s="83"/>
      <c r="N86" s="81"/>
      <c r="O86" s="6"/>
    </row>
    <row r="87" spans="2:20">
      <c r="B87" s="5"/>
      <c r="C87" s="52" t="s">
        <v>106</v>
      </c>
      <c r="D87" s="33"/>
      <c r="E87" s="33"/>
      <c r="F87" s="33"/>
      <c r="G87" s="33"/>
      <c r="H87" s="33"/>
      <c r="I87" s="33"/>
      <c r="J87" s="265">
        <f>'Servicer Report'!J30</f>
        <v>2227555.8199999998</v>
      </c>
      <c r="K87" s="266"/>
      <c r="L87" s="266"/>
      <c r="M87" s="266"/>
      <c r="N87" s="81"/>
      <c r="O87" s="6"/>
    </row>
    <row r="88" spans="2:20">
      <c r="B88" s="5"/>
      <c r="C88" s="52" t="s">
        <v>107</v>
      </c>
      <c r="D88" s="33"/>
      <c r="E88" s="33"/>
      <c r="F88" s="33"/>
      <c r="G88" s="33"/>
      <c r="H88" s="33"/>
      <c r="I88" s="33"/>
      <c r="J88" s="265">
        <v>0</v>
      </c>
      <c r="K88" s="266"/>
      <c r="L88" s="266"/>
      <c r="M88" s="266"/>
      <c r="N88" s="81"/>
      <c r="O88" s="6"/>
    </row>
    <row r="89" spans="2:20">
      <c r="B89" s="5"/>
      <c r="C89" s="52" t="s">
        <v>108</v>
      </c>
      <c r="D89" s="33"/>
      <c r="E89" s="33"/>
      <c r="F89" s="33"/>
      <c r="G89" s="33"/>
      <c r="H89" s="33"/>
      <c r="I89" s="33"/>
      <c r="J89" s="265">
        <v>0</v>
      </c>
      <c r="K89" s="266"/>
      <c r="L89" s="266"/>
      <c r="M89" s="266"/>
      <c r="N89" s="81"/>
      <c r="O89" s="6"/>
    </row>
    <row r="90" spans="2:20">
      <c r="B90" s="5"/>
      <c r="C90" s="72" t="s">
        <v>109</v>
      </c>
      <c r="D90" s="73"/>
      <c r="E90" s="73"/>
      <c r="F90" s="73"/>
      <c r="G90" s="73"/>
      <c r="H90" s="73"/>
      <c r="I90" s="73"/>
      <c r="J90" s="267">
        <v>0</v>
      </c>
      <c r="K90" s="268"/>
      <c r="L90" s="268"/>
      <c r="M90" s="268"/>
      <c r="N90" s="84"/>
      <c r="O90" s="6"/>
    </row>
    <row r="91" spans="2:20">
      <c r="B91" s="5"/>
      <c r="C91" s="317" t="s">
        <v>110</v>
      </c>
      <c r="D91" s="318"/>
      <c r="E91" s="318"/>
      <c r="F91" s="318"/>
      <c r="G91" s="318"/>
      <c r="H91" s="318"/>
      <c r="I91" s="318"/>
      <c r="J91" s="318"/>
      <c r="K91" s="318"/>
      <c r="L91" s="318"/>
      <c r="M91" s="318"/>
      <c r="N91" s="319"/>
      <c r="O91" s="6"/>
    </row>
    <row r="92" spans="2:20">
      <c r="B92" s="5"/>
      <c r="C92" s="85" t="s">
        <v>111</v>
      </c>
      <c r="D92" s="33"/>
      <c r="E92" s="33"/>
      <c r="F92" s="33"/>
      <c r="G92" s="33"/>
      <c r="H92" s="33"/>
      <c r="I92" s="33"/>
      <c r="J92" s="312">
        <f>SUM(J93:M96)</f>
        <v>65960183.804778591</v>
      </c>
      <c r="K92" s="313"/>
      <c r="L92" s="313"/>
      <c r="M92" s="313"/>
      <c r="N92" s="314"/>
      <c r="O92" s="6"/>
      <c r="S92" s="64"/>
    </row>
    <row r="93" spans="2:20">
      <c r="B93" s="5"/>
      <c r="C93" s="52" t="s">
        <v>112</v>
      </c>
      <c r="D93" s="33"/>
      <c r="E93" s="33"/>
      <c r="F93" s="33"/>
      <c r="G93" s="33"/>
      <c r="H93" s="33"/>
      <c r="I93" s="33"/>
      <c r="J93" s="265">
        <f>J56</f>
        <v>3607757.4924189113</v>
      </c>
      <c r="K93" s="266"/>
      <c r="L93" s="266"/>
      <c r="M93" s="266"/>
      <c r="N93" s="6"/>
      <c r="O93" s="6"/>
      <c r="T93" s="26"/>
    </row>
    <row r="94" spans="2:20">
      <c r="B94" s="5"/>
      <c r="C94" s="52" t="s">
        <v>113</v>
      </c>
      <c r="D94" s="33"/>
      <c r="E94" s="33"/>
      <c r="F94" s="33"/>
      <c r="G94" s="33"/>
      <c r="H94" s="33"/>
      <c r="I94" s="33"/>
      <c r="J94" s="265">
        <f>J60+J63+J66-J81+J58+J79-J96</f>
        <v>37682756.566859685</v>
      </c>
      <c r="K94" s="266"/>
      <c r="L94" s="266"/>
      <c r="M94" s="266"/>
      <c r="N94" s="6"/>
      <c r="O94" s="6"/>
      <c r="S94" s="64"/>
    </row>
    <row r="95" spans="2:20">
      <c r="B95" s="5"/>
      <c r="C95" s="52" t="s">
        <v>78</v>
      </c>
      <c r="D95" s="33"/>
      <c r="E95" s="33"/>
      <c r="F95" s="33"/>
      <c r="G95" s="33"/>
      <c r="H95" s="33"/>
      <c r="I95" s="33"/>
      <c r="J95" s="265">
        <f>I203</f>
        <v>0</v>
      </c>
      <c r="K95" s="266"/>
      <c r="L95" s="266"/>
      <c r="M95" s="266"/>
      <c r="N95" s="6"/>
      <c r="O95" s="6"/>
      <c r="S95" s="68"/>
    </row>
    <row r="96" spans="2:20" ht="15.75" thickBot="1">
      <c r="B96" s="5"/>
      <c r="C96" s="86" t="s">
        <v>79</v>
      </c>
      <c r="D96" s="87"/>
      <c r="E96" s="87"/>
      <c r="F96" s="87"/>
      <c r="G96" s="87"/>
      <c r="H96" s="87"/>
      <c r="I96" s="87"/>
      <c r="J96" s="251">
        <f>I194</f>
        <v>24669669.745499998</v>
      </c>
      <c r="K96" s="252"/>
      <c r="L96" s="252"/>
      <c r="M96" s="252"/>
      <c r="N96" s="88"/>
      <c r="O96" s="6"/>
    </row>
    <row r="97" spans="2:19" ht="15.75" thickBot="1">
      <c r="B97" s="5"/>
      <c r="C97" s="89"/>
      <c r="D97" s="7"/>
      <c r="E97" s="7"/>
      <c r="F97" s="7"/>
      <c r="G97" s="7"/>
      <c r="H97" s="7"/>
      <c r="I97" s="7"/>
      <c r="J97" s="7"/>
      <c r="K97" s="7"/>
      <c r="L97" s="7"/>
      <c r="M97" s="7"/>
      <c r="N97" s="7"/>
      <c r="O97" s="6"/>
      <c r="S97" s="68"/>
    </row>
    <row r="98" spans="2:19">
      <c r="B98" s="5"/>
      <c r="C98" s="258" t="s">
        <v>114</v>
      </c>
      <c r="D98" s="259"/>
      <c r="E98" s="259"/>
      <c r="F98" s="259"/>
      <c r="G98" s="259"/>
      <c r="H98" s="259"/>
      <c r="I98" s="259"/>
      <c r="J98" s="259"/>
      <c r="K98" s="259"/>
      <c r="L98" s="259"/>
      <c r="M98" s="259"/>
      <c r="N98" s="260"/>
      <c r="O98" s="6"/>
      <c r="P98" s="64"/>
      <c r="R98" s="90"/>
    </row>
    <row r="99" spans="2:19">
      <c r="B99" s="5"/>
      <c r="C99" s="79" t="s">
        <v>115</v>
      </c>
      <c r="D99" s="91"/>
      <c r="E99" s="91"/>
      <c r="F99" s="91"/>
      <c r="G99" s="91"/>
      <c r="H99" s="91"/>
      <c r="I99" s="92"/>
      <c r="J99" s="312">
        <f>J100+J103+J104-J105+J106+J107</f>
        <v>6667915.1599999871</v>
      </c>
      <c r="K99" s="313"/>
      <c r="L99" s="313"/>
      <c r="M99" s="313"/>
      <c r="N99" s="314"/>
      <c r="O99" s="6"/>
      <c r="R99" s="90"/>
    </row>
    <row r="100" spans="2:19">
      <c r="B100" s="5"/>
      <c r="C100" s="52" t="s">
        <v>337</v>
      </c>
      <c r="D100" s="33"/>
      <c r="E100" s="33"/>
      <c r="F100" s="33"/>
      <c r="G100" s="33"/>
      <c r="H100" s="33"/>
      <c r="I100" s="71"/>
      <c r="J100" s="265">
        <f>SUM(J101:L102)</f>
        <v>8895470.9799999874</v>
      </c>
      <c r="K100" s="266"/>
      <c r="L100" s="266"/>
      <c r="M100" s="266"/>
      <c r="N100" s="93"/>
      <c r="O100" s="6"/>
      <c r="R100" s="90"/>
    </row>
    <row r="101" spans="2:19">
      <c r="B101" s="5"/>
      <c r="C101" s="52" t="s">
        <v>338</v>
      </c>
      <c r="D101" s="33"/>
      <c r="E101" s="33"/>
      <c r="F101" s="33"/>
      <c r="G101" s="33"/>
      <c r="H101" s="33"/>
      <c r="I101" s="71"/>
      <c r="J101" s="265">
        <f>J67+J68+J75</f>
        <v>11626354.570000006</v>
      </c>
      <c r="K101" s="266"/>
      <c r="L101" s="266"/>
      <c r="M101" s="183"/>
      <c r="N101" s="93"/>
      <c r="O101" s="6"/>
      <c r="R101" s="90"/>
    </row>
    <row r="102" spans="2:19">
      <c r="B102" s="5"/>
      <c r="C102" s="52" t="s">
        <v>339</v>
      </c>
      <c r="D102" s="33"/>
      <c r="E102" s="33"/>
      <c r="F102" s="33"/>
      <c r="G102" s="33"/>
      <c r="H102" s="33"/>
      <c r="I102" s="71"/>
      <c r="J102" s="315">
        <f>-J83</f>
        <v>-2730883.5900000185</v>
      </c>
      <c r="K102" s="316"/>
      <c r="L102" s="316"/>
      <c r="M102" s="183"/>
      <c r="N102" s="93"/>
      <c r="O102" s="6"/>
      <c r="R102" s="90"/>
    </row>
    <row r="103" spans="2:19">
      <c r="B103" s="5"/>
      <c r="C103" s="52" t="s">
        <v>116</v>
      </c>
      <c r="D103" s="33"/>
      <c r="E103" s="33"/>
      <c r="F103" s="33"/>
      <c r="G103" s="33"/>
      <c r="H103" s="33"/>
      <c r="I103" s="71"/>
      <c r="J103" s="265">
        <v>0</v>
      </c>
      <c r="K103" s="266"/>
      <c r="L103" s="266"/>
      <c r="M103" s="266"/>
      <c r="N103" s="75"/>
      <c r="O103" s="6"/>
      <c r="R103" s="94"/>
    </row>
    <row r="104" spans="2:19">
      <c r="B104" s="5"/>
      <c r="C104" s="52" t="s">
        <v>117</v>
      </c>
      <c r="D104" s="33"/>
      <c r="E104" s="33"/>
      <c r="F104" s="33"/>
      <c r="G104" s="33"/>
      <c r="H104" s="33"/>
      <c r="I104" s="71"/>
      <c r="J104" s="266">
        <v>0</v>
      </c>
      <c r="K104" s="266"/>
      <c r="L104" s="266"/>
      <c r="M104" s="266"/>
      <c r="N104" s="75"/>
      <c r="O104" s="6"/>
    </row>
    <row r="105" spans="2:19">
      <c r="B105" s="5"/>
      <c r="C105" s="52" t="s">
        <v>118</v>
      </c>
      <c r="D105" s="33"/>
      <c r="E105" s="33"/>
      <c r="F105" s="33"/>
      <c r="G105" s="33"/>
      <c r="H105" s="33"/>
      <c r="I105" s="71"/>
      <c r="J105" s="265">
        <f>'Servicer Report'!J30</f>
        <v>2227555.8199999998</v>
      </c>
      <c r="K105" s="266"/>
      <c r="L105" s="266"/>
      <c r="M105" s="266"/>
      <c r="N105" s="75"/>
      <c r="O105" s="6"/>
      <c r="R105" s="68"/>
    </row>
    <row r="106" spans="2:19">
      <c r="B106" s="5"/>
      <c r="C106" s="52" t="s">
        <v>119</v>
      </c>
      <c r="D106" s="33"/>
      <c r="E106" s="33"/>
      <c r="F106" s="33"/>
      <c r="G106" s="33"/>
      <c r="H106" s="33"/>
      <c r="I106" s="71"/>
      <c r="J106" s="265">
        <v>0</v>
      </c>
      <c r="K106" s="266"/>
      <c r="L106" s="266"/>
      <c r="M106" s="266"/>
      <c r="N106" s="75"/>
      <c r="O106" s="6"/>
      <c r="R106" s="68"/>
    </row>
    <row r="107" spans="2:19" ht="15.75" thickBot="1">
      <c r="B107" s="5"/>
      <c r="C107" s="86" t="s">
        <v>120</v>
      </c>
      <c r="D107" s="87"/>
      <c r="E107" s="87"/>
      <c r="F107" s="87"/>
      <c r="G107" s="87"/>
      <c r="H107" s="87"/>
      <c r="I107" s="95"/>
      <c r="J107" s="310">
        <v>0</v>
      </c>
      <c r="K107" s="311"/>
      <c r="L107" s="311"/>
      <c r="M107" s="311"/>
      <c r="N107" s="96"/>
      <c r="O107" s="6"/>
    </row>
    <row r="108" spans="2:19" ht="15.75" thickBot="1">
      <c r="B108" s="5"/>
      <c r="C108" s="89"/>
      <c r="D108" s="7"/>
      <c r="E108" s="7"/>
      <c r="F108" s="7"/>
      <c r="G108" s="7"/>
      <c r="H108" s="7"/>
      <c r="I108" s="7"/>
      <c r="J108" s="97"/>
      <c r="K108" s="97"/>
      <c r="L108" s="97"/>
      <c r="M108" s="97"/>
      <c r="N108" s="98"/>
      <c r="O108" s="6"/>
    </row>
    <row r="109" spans="2:19">
      <c r="B109" s="5"/>
      <c r="C109" s="258" t="s">
        <v>121</v>
      </c>
      <c r="D109" s="259"/>
      <c r="E109" s="259"/>
      <c r="F109" s="259"/>
      <c r="G109" s="259"/>
      <c r="H109" s="259"/>
      <c r="I109" s="259"/>
      <c r="J109" s="259"/>
      <c r="K109" s="259"/>
      <c r="L109" s="259"/>
      <c r="M109" s="259"/>
      <c r="N109" s="260"/>
      <c r="O109" s="6"/>
    </row>
    <row r="110" spans="2:19">
      <c r="B110" s="5"/>
      <c r="C110" s="99" t="s">
        <v>122</v>
      </c>
      <c r="D110" s="12"/>
      <c r="E110" s="12"/>
      <c r="F110" s="12"/>
      <c r="G110" s="12"/>
      <c r="H110" s="13"/>
      <c r="I110" s="295">
        <f>J99</f>
        <v>6667915.1599999871</v>
      </c>
      <c r="J110" s="296"/>
      <c r="K110" s="296"/>
      <c r="L110" s="296"/>
      <c r="M110" s="296"/>
      <c r="N110" s="297"/>
      <c r="O110" s="6"/>
    </row>
    <row r="111" spans="2:19">
      <c r="B111" s="5"/>
      <c r="C111" s="100" t="s">
        <v>123</v>
      </c>
      <c r="D111" s="21"/>
      <c r="E111" s="21"/>
      <c r="F111" s="21"/>
      <c r="G111" s="21"/>
      <c r="H111" s="23"/>
      <c r="I111" s="298">
        <f>I158</f>
        <v>42148736.822249398</v>
      </c>
      <c r="J111" s="299"/>
      <c r="K111" s="299"/>
      <c r="L111" s="299"/>
      <c r="M111" s="299"/>
      <c r="N111" s="300"/>
      <c r="O111" s="6"/>
    </row>
    <row r="112" spans="2:19" ht="15.75" thickBot="1">
      <c r="B112" s="5"/>
      <c r="C112" s="101" t="s">
        <v>124</v>
      </c>
      <c r="D112" s="28"/>
      <c r="E112" s="28"/>
      <c r="F112" s="28"/>
      <c r="G112" s="28"/>
      <c r="H112" s="102"/>
      <c r="I112" s="301">
        <f>MAX(I110-I111,0)</f>
        <v>0</v>
      </c>
      <c r="J112" s="302"/>
      <c r="K112" s="302"/>
      <c r="L112" s="302"/>
      <c r="M112" s="302"/>
      <c r="N112" s="303"/>
      <c r="O112" s="6"/>
    </row>
    <row r="113" spans="2:15" ht="15.75" thickBot="1">
      <c r="B113" s="5"/>
      <c r="C113" s="89"/>
      <c r="D113" s="7"/>
      <c r="E113" s="7"/>
      <c r="F113" s="7"/>
      <c r="G113" s="7"/>
      <c r="H113" s="7"/>
      <c r="I113" s="7"/>
      <c r="J113" s="97"/>
      <c r="K113" s="97"/>
      <c r="L113" s="97"/>
      <c r="M113" s="97"/>
      <c r="N113" s="98"/>
      <c r="O113" s="6"/>
    </row>
    <row r="114" spans="2:15">
      <c r="B114" s="5"/>
      <c r="C114" s="258" t="s">
        <v>125</v>
      </c>
      <c r="D114" s="259"/>
      <c r="E114" s="259"/>
      <c r="F114" s="259"/>
      <c r="G114" s="259"/>
      <c r="H114" s="259"/>
      <c r="I114" s="259"/>
      <c r="J114" s="259"/>
      <c r="K114" s="259"/>
      <c r="L114" s="259"/>
      <c r="M114" s="259"/>
      <c r="N114" s="260"/>
      <c r="O114" s="6"/>
    </row>
    <row r="115" spans="2:15">
      <c r="B115" s="5"/>
      <c r="C115" s="103"/>
      <c r="D115" s="104"/>
      <c r="E115" s="104"/>
      <c r="F115" s="104"/>
      <c r="G115" s="304" t="s">
        <v>126</v>
      </c>
      <c r="H115" s="305"/>
      <c r="I115" s="306" t="s">
        <v>127</v>
      </c>
      <c r="J115" s="307"/>
      <c r="K115" s="306" t="s">
        <v>128</v>
      </c>
      <c r="L115" s="307"/>
      <c r="M115" s="308" t="s">
        <v>129</v>
      </c>
      <c r="N115" s="309"/>
      <c r="O115" s="6"/>
    </row>
    <row r="116" spans="2:15">
      <c r="B116" s="5"/>
      <c r="C116" s="100" t="s">
        <v>130</v>
      </c>
      <c r="D116" s="29"/>
      <c r="E116" s="29"/>
      <c r="F116" s="29"/>
      <c r="G116" s="289">
        <v>0</v>
      </c>
      <c r="H116" s="290"/>
      <c r="I116" s="289">
        <v>0</v>
      </c>
      <c r="J116" s="290"/>
      <c r="K116" s="289" t="s">
        <v>131</v>
      </c>
      <c r="L116" s="290"/>
      <c r="M116" s="289" t="s">
        <v>131</v>
      </c>
      <c r="N116" s="291"/>
      <c r="O116" s="6"/>
    </row>
    <row r="117" spans="2:15" ht="15.75" thickBot="1">
      <c r="B117" s="5"/>
      <c r="C117" s="101" t="s">
        <v>132</v>
      </c>
      <c r="D117" s="87"/>
      <c r="E117" s="87"/>
      <c r="F117" s="87"/>
      <c r="G117" s="292">
        <v>0</v>
      </c>
      <c r="H117" s="293"/>
      <c r="I117" s="292">
        <v>0</v>
      </c>
      <c r="J117" s="293"/>
      <c r="K117" s="292" t="s">
        <v>131</v>
      </c>
      <c r="L117" s="293"/>
      <c r="M117" s="292" t="s">
        <v>131</v>
      </c>
      <c r="N117" s="294"/>
      <c r="O117" s="6"/>
    </row>
    <row r="118" spans="2:15" ht="15.75" thickBot="1">
      <c r="B118" s="5"/>
      <c r="C118" s="89"/>
      <c r="D118" s="7"/>
      <c r="E118" s="7"/>
      <c r="F118" s="7"/>
      <c r="G118" s="7"/>
      <c r="H118" s="7"/>
      <c r="I118" s="7"/>
      <c r="J118" s="7"/>
      <c r="K118" s="7"/>
      <c r="L118" s="7"/>
      <c r="M118" s="7"/>
      <c r="N118" s="7"/>
      <c r="O118" s="6"/>
    </row>
    <row r="119" spans="2:15">
      <c r="B119" s="5"/>
      <c r="C119" s="258" t="s">
        <v>133</v>
      </c>
      <c r="D119" s="259"/>
      <c r="E119" s="259"/>
      <c r="F119" s="259"/>
      <c r="G119" s="259"/>
      <c r="H119" s="259"/>
      <c r="I119" s="259"/>
      <c r="J119" s="259"/>
      <c r="K119" s="259"/>
      <c r="L119" s="259"/>
      <c r="M119" s="259"/>
      <c r="N119" s="260"/>
      <c r="O119" s="6"/>
    </row>
    <row r="120" spans="2:15">
      <c r="B120" s="5"/>
      <c r="C120" s="52" t="s">
        <v>134</v>
      </c>
      <c r="D120" s="33"/>
      <c r="E120" s="33"/>
      <c r="F120" s="33"/>
      <c r="G120" s="33"/>
      <c r="H120" s="33"/>
      <c r="I120" s="71"/>
      <c r="J120" s="277" t="s">
        <v>135</v>
      </c>
      <c r="K120" s="278"/>
      <c r="L120" s="278"/>
      <c r="M120" s="278"/>
      <c r="N120" s="105"/>
      <c r="O120" s="6"/>
    </row>
    <row r="121" spans="2:15">
      <c r="B121" s="5"/>
      <c r="C121" s="52" t="s">
        <v>136</v>
      </c>
      <c r="D121" s="33"/>
      <c r="E121" s="33"/>
      <c r="F121" s="33"/>
      <c r="G121" s="33"/>
      <c r="H121" s="33"/>
      <c r="I121" s="71"/>
      <c r="J121" s="277" t="s">
        <v>135</v>
      </c>
      <c r="K121" s="278"/>
      <c r="L121" s="278"/>
      <c r="M121" s="278"/>
      <c r="N121" s="105"/>
      <c r="O121" s="6"/>
    </row>
    <row r="122" spans="2:15">
      <c r="B122" s="5"/>
      <c r="C122" s="52" t="s">
        <v>137</v>
      </c>
      <c r="D122" s="33"/>
      <c r="E122" s="33"/>
      <c r="F122" s="33"/>
      <c r="G122" s="33"/>
      <c r="H122" s="33"/>
      <c r="I122" s="71"/>
      <c r="J122" s="277" t="s">
        <v>131</v>
      </c>
      <c r="K122" s="278"/>
      <c r="L122" s="278"/>
      <c r="M122" s="278"/>
      <c r="N122" s="105"/>
      <c r="O122" s="6"/>
    </row>
    <row r="123" spans="2:15">
      <c r="B123" s="5"/>
      <c r="C123" s="99" t="s">
        <v>138</v>
      </c>
      <c r="D123" s="73"/>
      <c r="E123" s="73"/>
      <c r="F123" s="73"/>
      <c r="G123" s="73"/>
      <c r="H123" s="73"/>
      <c r="I123" s="74"/>
      <c r="J123" s="274" t="s">
        <v>135</v>
      </c>
      <c r="K123" s="275"/>
      <c r="L123" s="275"/>
      <c r="M123" s="275"/>
      <c r="N123" s="276"/>
      <c r="O123" s="6"/>
    </row>
    <row r="124" spans="2:15">
      <c r="B124" s="5"/>
      <c r="C124" s="106" t="s">
        <v>139</v>
      </c>
      <c r="D124" s="66"/>
      <c r="E124" s="66"/>
      <c r="F124" s="66"/>
      <c r="G124" s="66"/>
      <c r="H124" s="66"/>
      <c r="I124" s="107"/>
      <c r="J124" s="287" t="s">
        <v>135</v>
      </c>
      <c r="K124" s="288"/>
      <c r="L124" s="288"/>
      <c r="M124" s="288"/>
      <c r="N124" s="108"/>
      <c r="O124" s="6"/>
    </row>
    <row r="125" spans="2:15">
      <c r="B125" s="5"/>
      <c r="C125" s="76" t="s">
        <v>140</v>
      </c>
      <c r="D125" s="33"/>
      <c r="E125" s="33"/>
      <c r="F125" s="33"/>
      <c r="G125" s="33"/>
      <c r="H125" s="33"/>
      <c r="I125" s="109"/>
      <c r="J125" s="272" t="s">
        <v>135</v>
      </c>
      <c r="K125" s="273"/>
      <c r="L125" s="273"/>
      <c r="M125" s="110"/>
      <c r="N125" s="111"/>
      <c r="O125" s="6"/>
    </row>
    <row r="126" spans="2:15">
      <c r="B126" s="5"/>
      <c r="C126" s="76" t="s">
        <v>141</v>
      </c>
      <c r="D126" s="33"/>
      <c r="E126" s="33"/>
      <c r="F126" s="33"/>
      <c r="G126" s="33"/>
      <c r="H126" s="33"/>
      <c r="I126" s="109"/>
      <c r="J126" s="272" t="s">
        <v>135</v>
      </c>
      <c r="K126" s="273"/>
      <c r="L126" s="273"/>
      <c r="M126" s="110"/>
      <c r="N126" s="111"/>
      <c r="O126" s="6"/>
    </row>
    <row r="127" spans="2:15">
      <c r="B127" s="5"/>
      <c r="C127" s="76" t="s">
        <v>142</v>
      </c>
      <c r="D127" s="33"/>
      <c r="E127" s="33"/>
      <c r="F127" s="33"/>
      <c r="G127" s="33"/>
      <c r="H127" s="33"/>
      <c r="I127" s="109"/>
      <c r="J127" s="272" t="s">
        <v>131</v>
      </c>
      <c r="K127" s="273"/>
      <c r="L127" s="273"/>
      <c r="M127" s="110"/>
      <c r="N127" s="111"/>
      <c r="O127" s="6"/>
    </row>
    <row r="128" spans="2:15">
      <c r="B128" s="5"/>
      <c r="C128" s="76" t="s">
        <v>143</v>
      </c>
      <c r="D128" s="33"/>
      <c r="E128" s="33"/>
      <c r="F128" s="33"/>
      <c r="G128" s="33"/>
      <c r="H128" s="33"/>
      <c r="I128" s="109"/>
      <c r="J128" s="272" t="s">
        <v>131</v>
      </c>
      <c r="K128" s="273"/>
      <c r="L128" s="273"/>
      <c r="M128" s="110"/>
      <c r="N128" s="111"/>
      <c r="O128" s="6"/>
    </row>
    <row r="129" spans="2:15">
      <c r="B129" s="5"/>
      <c r="C129" s="76" t="s">
        <v>144</v>
      </c>
      <c r="D129" s="33"/>
      <c r="E129" s="33"/>
      <c r="F129" s="33"/>
      <c r="G129" s="33"/>
      <c r="H129" s="33"/>
      <c r="I129" s="109"/>
      <c r="J129" s="272" t="s">
        <v>131</v>
      </c>
      <c r="K129" s="273"/>
      <c r="L129" s="273"/>
      <c r="M129" s="110"/>
      <c r="N129" s="111"/>
      <c r="O129" s="6"/>
    </row>
    <row r="130" spans="2:15">
      <c r="B130" s="5"/>
      <c r="C130" s="76" t="s">
        <v>145</v>
      </c>
      <c r="D130" s="33"/>
      <c r="E130" s="33"/>
      <c r="F130" s="33"/>
      <c r="G130" s="33"/>
      <c r="H130" s="33"/>
      <c r="I130" s="109"/>
      <c r="J130" s="272" t="s">
        <v>131</v>
      </c>
      <c r="K130" s="273"/>
      <c r="L130" s="273"/>
      <c r="M130" s="110"/>
      <c r="N130" s="111"/>
      <c r="O130" s="6"/>
    </row>
    <row r="131" spans="2:15">
      <c r="B131" s="5"/>
      <c r="C131" s="76" t="s">
        <v>146</v>
      </c>
      <c r="D131" s="33"/>
      <c r="E131" s="33"/>
      <c r="F131" s="33"/>
      <c r="G131" s="33"/>
      <c r="H131" s="33"/>
      <c r="I131" s="109"/>
      <c r="J131" s="272" t="s">
        <v>131</v>
      </c>
      <c r="K131" s="273"/>
      <c r="L131" s="273"/>
      <c r="M131" s="110"/>
      <c r="N131" s="111"/>
      <c r="O131" s="6"/>
    </row>
    <row r="132" spans="2:15">
      <c r="B132" s="5"/>
      <c r="C132" s="99" t="s">
        <v>147</v>
      </c>
      <c r="D132" s="73"/>
      <c r="E132" s="73"/>
      <c r="F132" s="73"/>
      <c r="G132" s="73"/>
      <c r="H132" s="73"/>
      <c r="I132" s="112"/>
      <c r="J132" s="274" t="s">
        <v>135</v>
      </c>
      <c r="K132" s="275"/>
      <c r="L132" s="275"/>
      <c r="M132" s="275"/>
      <c r="N132" s="276"/>
      <c r="O132" s="6"/>
    </row>
    <row r="133" spans="2:15">
      <c r="B133" s="5"/>
      <c r="C133" s="106" t="s">
        <v>148</v>
      </c>
      <c r="D133" s="66"/>
      <c r="E133" s="66"/>
      <c r="F133" s="66"/>
      <c r="G133" s="66"/>
      <c r="H133" s="66"/>
      <c r="I133" s="107"/>
      <c r="J133" s="277" t="s">
        <v>135</v>
      </c>
      <c r="K133" s="278"/>
      <c r="L133" s="278"/>
      <c r="M133" s="278"/>
      <c r="N133" s="108"/>
      <c r="O133" s="6"/>
    </row>
    <row r="134" spans="2:15" ht="15.75" thickBot="1">
      <c r="B134" s="5"/>
      <c r="C134" s="101" t="s">
        <v>149</v>
      </c>
      <c r="D134" s="87"/>
      <c r="E134" s="87"/>
      <c r="F134" s="87"/>
      <c r="G134" s="87"/>
      <c r="H134" s="87"/>
      <c r="I134" s="113"/>
      <c r="J134" s="274" t="s">
        <v>135</v>
      </c>
      <c r="K134" s="275"/>
      <c r="L134" s="275"/>
      <c r="M134" s="275"/>
      <c r="N134" s="276"/>
      <c r="O134" s="6"/>
    </row>
    <row r="135" spans="2:15" ht="15.75" thickBot="1">
      <c r="B135" s="5"/>
      <c r="C135" s="89"/>
      <c r="D135" s="7"/>
      <c r="E135" s="7"/>
      <c r="F135" s="7"/>
      <c r="G135" s="7"/>
      <c r="H135" s="7"/>
      <c r="I135" s="7"/>
      <c r="J135" s="7"/>
      <c r="K135" s="7"/>
      <c r="L135" s="7"/>
      <c r="M135" s="7"/>
      <c r="N135" s="7"/>
      <c r="O135" s="6"/>
    </row>
    <row r="136" spans="2:15">
      <c r="B136" s="5"/>
      <c r="C136" s="258" t="s">
        <v>150</v>
      </c>
      <c r="D136" s="259"/>
      <c r="E136" s="259"/>
      <c r="F136" s="259"/>
      <c r="G136" s="259"/>
      <c r="H136" s="259"/>
      <c r="I136" s="259"/>
      <c r="J136" s="259"/>
      <c r="K136" s="259"/>
      <c r="L136" s="259"/>
      <c r="M136" s="259"/>
      <c r="N136" s="260"/>
      <c r="O136" s="6"/>
    </row>
    <row r="137" spans="2:15" ht="45.75" customHeight="1">
      <c r="B137" s="5"/>
      <c r="C137" s="279" t="s">
        <v>151</v>
      </c>
      <c r="D137" s="280"/>
      <c r="E137" s="281"/>
      <c r="F137" s="282" t="s">
        <v>152</v>
      </c>
      <c r="G137" s="233"/>
      <c r="H137" s="234"/>
      <c r="I137" s="283" t="s">
        <v>153</v>
      </c>
      <c r="J137" s="284"/>
      <c r="K137" s="285"/>
      <c r="L137" s="282" t="s">
        <v>154</v>
      </c>
      <c r="M137" s="233"/>
      <c r="N137" s="286"/>
      <c r="O137" s="6"/>
    </row>
    <row r="138" spans="2:15">
      <c r="B138" s="5"/>
      <c r="C138" s="100" t="s">
        <v>155</v>
      </c>
      <c r="D138" s="29"/>
      <c r="E138" s="29"/>
      <c r="F138" s="261">
        <v>2148879.89</v>
      </c>
      <c r="G138" s="262"/>
      <c r="H138" s="262"/>
      <c r="I138" s="242">
        <f>J92</f>
        <v>65960183.804778591</v>
      </c>
      <c r="J138" s="243"/>
      <c r="K138" s="263"/>
      <c r="L138" s="262">
        <f>F138</f>
        <v>2148879.89</v>
      </c>
      <c r="M138" s="262"/>
      <c r="N138" s="264"/>
      <c r="O138" s="6"/>
    </row>
    <row r="139" spans="2:15">
      <c r="B139" s="5"/>
      <c r="C139" s="79" t="s">
        <v>156</v>
      </c>
      <c r="D139" s="66"/>
      <c r="E139" s="66"/>
      <c r="F139" s="261">
        <f>SUM(F140:G141)</f>
        <v>74175</v>
      </c>
      <c r="G139" s="262"/>
      <c r="H139" s="262"/>
      <c r="I139" s="261">
        <f>I138-L138</f>
        <v>63811303.91477859</v>
      </c>
      <c r="J139" s="262"/>
      <c r="K139" s="269"/>
      <c r="L139" s="262">
        <f>SUM(L140:M141)</f>
        <v>74175</v>
      </c>
      <c r="M139" s="262"/>
      <c r="N139" s="264"/>
      <c r="O139" s="6"/>
    </row>
    <row r="140" spans="2:15">
      <c r="B140" s="5"/>
      <c r="C140" s="52" t="s">
        <v>157</v>
      </c>
      <c r="D140" s="33"/>
      <c r="E140" s="33"/>
      <c r="F140" s="265">
        <f>SUM(7187.5,4312.5,2300)</f>
        <v>13800</v>
      </c>
      <c r="G140" s="266"/>
      <c r="H140" s="114"/>
      <c r="I140" s="265">
        <f>I139*F140/$F$139</f>
        <v>11871870.495772762</v>
      </c>
      <c r="J140" s="266"/>
      <c r="K140" s="115"/>
      <c r="L140" s="266">
        <f>F140</f>
        <v>13800</v>
      </c>
      <c r="M140" s="266"/>
      <c r="N140" s="116"/>
      <c r="O140" s="6"/>
    </row>
    <row r="141" spans="2:15">
      <c r="B141" s="5"/>
      <c r="C141" s="52" t="s">
        <v>158</v>
      </c>
      <c r="D141" s="33"/>
      <c r="E141" s="33"/>
      <c r="F141" s="265">
        <f>SUM(38812.5,4312.5,17250)</f>
        <v>60375</v>
      </c>
      <c r="G141" s="266"/>
      <c r="H141" s="117"/>
      <c r="I141" s="267">
        <f>I139*F141/$F$139</f>
        <v>51939433.419005826</v>
      </c>
      <c r="J141" s="268"/>
      <c r="K141" s="118"/>
      <c r="L141" s="268">
        <f>F141</f>
        <v>60375</v>
      </c>
      <c r="M141" s="268"/>
      <c r="N141" s="119"/>
      <c r="O141" s="6"/>
    </row>
    <row r="142" spans="2:15">
      <c r="B142" s="5"/>
      <c r="C142" s="79" t="s">
        <v>159</v>
      </c>
      <c r="D142" s="66"/>
      <c r="E142" s="66"/>
      <c r="F142" s="261">
        <f>SUM(F143:G144)</f>
        <v>801656.19000000018</v>
      </c>
      <c r="G142" s="262"/>
      <c r="H142" s="262"/>
      <c r="I142" s="261">
        <f>I139-L139</f>
        <v>63737128.91477859</v>
      </c>
      <c r="J142" s="262"/>
      <c r="K142" s="269"/>
      <c r="L142" s="261">
        <f>SUM(L143:M144)</f>
        <v>801656.19000000018</v>
      </c>
      <c r="M142" s="262"/>
      <c r="N142" s="264"/>
      <c r="O142" s="6"/>
    </row>
    <row r="143" spans="2:15">
      <c r="B143" s="5"/>
      <c r="C143" s="52" t="s">
        <v>160</v>
      </c>
      <c r="D143" s="33"/>
      <c r="E143" s="33"/>
      <c r="F143" s="265">
        <v>240</v>
      </c>
      <c r="G143" s="266"/>
      <c r="H143" s="114"/>
      <c r="I143" s="265">
        <f>$I$142*F143/$F$142</f>
        <v>19081.63515776864</v>
      </c>
      <c r="J143" s="266"/>
      <c r="K143" s="114"/>
      <c r="L143" s="265">
        <f>F143</f>
        <v>240</v>
      </c>
      <c r="M143" s="266"/>
      <c r="N143" s="116"/>
      <c r="O143" s="6"/>
    </row>
    <row r="144" spans="2:15">
      <c r="B144" s="5"/>
      <c r="C144" s="52" t="s">
        <v>161</v>
      </c>
      <c r="D144" s="33"/>
      <c r="E144" s="33"/>
      <c r="F144" s="265">
        <v>801416.19000000018</v>
      </c>
      <c r="G144" s="266"/>
      <c r="H144" s="114"/>
      <c r="I144" s="267">
        <f>$I$142*F144/$F$142</f>
        <v>63718047.279620819</v>
      </c>
      <c r="J144" s="268"/>
      <c r="K144" s="117"/>
      <c r="L144" s="267">
        <f>F144</f>
        <v>801416.19000000018</v>
      </c>
      <c r="M144" s="268"/>
      <c r="N144" s="119"/>
      <c r="O144" s="6"/>
    </row>
    <row r="145" spans="2:15">
      <c r="B145" s="5"/>
      <c r="C145" s="79" t="s">
        <v>162</v>
      </c>
      <c r="D145" s="66"/>
      <c r="E145" s="66"/>
      <c r="F145" s="261">
        <f>SUM(F146:G148)</f>
        <v>3019217.8018420991</v>
      </c>
      <c r="G145" s="262"/>
      <c r="H145" s="269"/>
      <c r="I145" s="261">
        <f>I142-L142</f>
        <v>62935472.724778593</v>
      </c>
      <c r="J145" s="262"/>
      <c r="K145" s="269"/>
      <c r="L145" s="261">
        <f>SUM(L146:M148)</f>
        <v>3019217.8018420991</v>
      </c>
      <c r="M145" s="262"/>
      <c r="N145" s="264"/>
      <c r="O145" s="6"/>
    </row>
    <row r="146" spans="2:15">
      <c r="B146" s="5"/>
      <c r="C146" s="52" t="s">
        <v>163</v>
      </c>
      <c r="D146" s="33"/>
      <c r="E146" s="33"/>
      <c r="F146" s="265">
        <v>2662519.1574962866</v>
      </c>
      <c r="G146" s="266"/>
      <c r="H146" s="115"/>
      <c r="I146" s="265">
        <f>$I$145*F146/$F$145</f>
        <v>55500103.938699402</v>
      </c>
      <c r="J146" s="266"/>
      <c r="K146" s="115"/>
      <c r="L146" s="265">
        <f>F146</f>
        <v>2662519.1574962866</v>
      </c>
      <c r="M146" s="266"/>
      <c r="N146" s="116"/>
      <c r="O146" s="6"/>
    </row>
    <row r="147" spans="2:15">
      <c r="B147" s="5"/>
      <c r="C147" s="52" t="s">
        <v>164</v>
      </c>
      <c r="D147" s="33"/>
      <c r="E147" s="33"/>
      <c r="F147" s="265">
        <v>43125</v>
      </c>
      <c r="G147" s="266"/>
      <c r="H147" s="115"/>
      <c r="I147" s="265">
        <f t="shared" ref="I147:I148" si="10">$I$145*F147/$F$145</f>
        <v>898938.8773476833</v>
      </c>
      <c r="J147" s="266"/>
      <c r="K147" s="115"/>
      <c r="L147" s="265">
        <f>F147</f>
        <v>43125</v>
      </c>
      <c r="M147" s="266"/>
      <c r="N147" s="116"/>
      <c r="O147" s="6"/>
    </row>
    <row r="148" spans="2:15">
      <c r="B148" s="5"/>
      <c r="C148" s="52" t="s">
        <v>165</v>
      </c>
      <c r="D148" s="33"/>
      <c r="E148" s="33"/>
      <c r="F148" s="267">
        <v>313573.6443458125</v>
      </c>
      <c r="G148" s="268"/>
      <c r="H148" s="120"/>
      <c r="I148" s="267">
        <f t="shared" si="10"/>
        <v>6536429.9087315109</v>
      </c>
      <c r="J148" s="268"/>
      <c r="K148" s="120"/>
      <c r="L148" s="267">
        <f>F148</f>
        <v>313573.6443458125</v>
      </c>
      <c r="M148" s="268"/>
      <c r="N148" s="121"/>
      <c r="O148" s="6"/>
    </row>
    <row r="149" spans="2:15">
      <c r="B149" s="5"/>
      <c r="C149" s="100" t="s">
        <v>166</v>
      </c>
      <c r="D149" s="29"/>
      <c r="E149" s="29"/>
      <c r="F149" s="261">
        <v>1134953.476859685</v>
      </c>
      <c r="G149" s="262"/>
      <c r="H149" s="262"/>
      <c r="I149" s="242">
        <f>I145-L145</f>
        <v>59916254.922936492</v>
      </c>
      <c r="J149" s="243"/>
      <c r="K149" s="263"/>
      <c r="L149" s="261">
        <f>F149</f>
        <v>1134953.476859685</v>
      </c>
      <c r="M149" s="262"/>
      <c r="N149" s="264"/>
      <c r="O149" s="6"/>
    </row>
    <row r="150" spans="2:15">
      <c r="B150" s="5"/>
      <c r="C150" s="79" t="s">
        <v>167</v>
      </c>
      <c r="D150" s="66"/>
      <c r="E150" s="66"/>
      <c r="F150" s="261">
        <v>0</v>
      </c>
      <c r="G150" s="262"/>
      <c r="H150" s="262"/>
      <c r="I150" s="242">
        <f>I149-L149</f>
        <v>58781301.44607681</v>
      </c>
      <c r="J150" s="243"/>
      <c r="K150" s="263"/>
      <c r="L150" s="261">
        <f>F150</f>
        <v>0</v>
      </c>
      <c r="M150" s="262"/>
      <c r="N150" s="264"/>
      <c r="O150" s="6"/>
    </row>
    <row r="151" spans="2:15">
      <c r="B151" s="5"/>
      <c r="C151" s="79" t="s">
        <v>168</v>
      </c>
      <c r="D151" s="66"/>
      <c r="E151" s="66"/>
      <c r="F151" s="261">
        <f>SUM(F152:G154)</f>
        <v>12452438.486841112</v>
      </c>
      <c r="G151" s="262"/>
      <c r="H151" s="269"/>
      <c r="I151" s="261">
        <f>I150-L150</f>
        <v>58781301.44607681</v>
      </c>
      <c r="J151" s="262"/>
      <c r="K151" s="269"/>
      <c r="L151" s="261">
        <f>SUM(L152:M154)</f>
        <v>12452438.486841112</v>
      </c>
      <c r="M151" s="262"/>
      <c r="N151" s="264"/>
      <c r="O151" s="6"/>
    </row>
    <row r="152" spans="2:15">
      <c r="B152" s="5"/>
      <c r="C152" s="52" t="s">
        <v>169</v>
      </c>
      <c r="D152" s="33"/>
      <c r="E152" s="33"/>
      <c r="F152" s="265">
        <f>G36+H36</f>
        <v>2445963.8019096069</v>
      </c>
      <c r="G152" s="266"/>
      <c r="H152" s="115"/>
      <c r="I152" s="265">
        <f>$I$151*F152/$F$151</f>
        <v>11546086.794018246</v>
      </c>
      <c r="J152" s="266"/>
      <c r="K152" s="115"/>
      <c r="L152" s="265">
        <f t="shared" ref="L152:L160" si="11">F152</f>
        <v>2445963.8019096069</v>
      </c>
      <c r="M152" s="266"/>
      <c r="N152" s="116"/>
      <c r="O152" s="6"/>
    </row>
    <row r="153" spans="2:15">
      <c r="B153" s="5"/>
      <c r="C153" s="52" t="s">
        <v>170</v>
      </c>
      <c r="D153" s="33"/>
      <c r="E153" s="33"/>
      <c r="F153" s="265">
        <f>I36+J36</f>
        <v>10006474.684931505</v>
      </c>
      <c r="G153" s="266"/>
      <c r="H153" s="115"/>
      <c r="I153" s="265">
        <f t="shared" ref="I153:I154" si="12">$I$151*F153/$F$151</f>
        <v>47235214.652058564</v>
      </c>
      <c r="J153" s="266"/>
      <c r="K153" s="115"/>
      <c r="L153" s="265">
        <f t="shared" si="11"/>
        <v>10006474.684931505</v>
      </c>
      <c r="M153" s="266"/>
      <c r="N153" s="116"/>
      <c r="O153" s="6"/>
    </row>
    <row r="154" spans="2:15">
      <c r="B154" s="5"/>
      <c r="C154" s="72" t="s">
        <v>171</v>
      </c>
      <c r="D154" s="73"/>
      <c r="E154" s="73"/>
      <c r="F154" s="267">
        <v>0</v>
      </c>
      <c r="G154" s="268"/>
      <c r="H154" s="120"/>
      <c r="I154" s="267">
        <f t="shared" si="12"/>
        <v>0</v>
      </c>
      <c r="J154" s="268"/>
      <c r="K154" s="120"/>
      <c r="L154" s="267">
        <f t="shared" si="11"/>
        <v>0</v>
      </c>
      <c r="M154" s="268"/>
      <c r="N154" s="121"/>
      <c r="O154" s="6"/>
    </row>
    <row r="155" spans="2:15">
      <c r="B155" s="5"/>
      <c r="C155" s="100" t="s">
        <v>172</v>
      </c>
      <c r="D155" s="29"/>
      <c r="E155" s="29"/>
      <c r="F155" s="261">
        <f>K36+L36</f>
        <v>3407758.0273972601</v>
      </c>
      <c r="G155" s="262"/>
      <c r="H155" s="262"/>
      <c r="I155" s="242">
        <f>I151-L151</f>
        <v>46328862.959235698</v>
      </c>
      <c r="J155" s="243"/>
      <c r="K155" s="263"/>
      <c r="L155" s="261">
        <f t="shared" si="11"/>
        <v>3407758.0273972601</v>
      </c>
      <c r="M155" s="262"/>
      <c r="N155" s="264"/>
      <c r="O155" s="6"/>
    </row>
    <row r="156" spans="2:15">
      <c r="B156" s="5"/>
      <c r="C156" s="100" t="s">
        <v>173</v>
      </c>
      <c r="D156" s="29"/>
      <c r="E156" s="29"/>
      <c r="F156" s="261">
        <f>M36+N36</f>
        <v>772368.10958904109</v>
      </c>
      <c r="G156" s="262"/>
      <c r="H156" s="262"/>
      <c r="I156" s="242">
        <f>I155-L155</f>
        <v>42921104.931838438</v>
      </c>
      <c r="J156" s="243"/>
      <c r="K156" s="263"/>
      <c r="L156" s="261">
        <f t="shared" si="11"/>
        <v>772368.10958904109</v>
      </c>
      <c r="M156" s="262"/>
      <c r="N156" s="264"/>
      <c r="O156" s="6"/>
    </row>
    <row r="157" spans="2:15">
      <c r="B157" s="5"/>
      <c r="C157" s="100" t="s">
        <v>174</v>
      </c>
      <c r="D157" s="29"/>
      <c r="E157" s="29"/>
      <c r="F157" s="261">
        <v>0</v>
      </c>
      <c r="G157" s="262"/>
      <c r="H157" s="262"/>
      <c r="I157" s="242">
        <f>I156-L156</f>
        <v>42148736.822249398</v>
      </c>
      <c r="J157" s="243"/>
      <c r="K157" s="263"/>
      <c r="L157" s="261">
        <f t="shared" si="11"/>
        <v>0</v>
      </c>
      <c r="M157" s="262"/>
      <c r="N157" s="264"/>
      <c r="O157" s="6"/>
    </row>
    <row r="158" spans="2:15">
      <c r="B158" s="5"/>
      <c r="C158" s="100" t="s">
        <v>175</v>
      </c>
      <c r="D158" s="29"/>
      <c r="E158" s="29"/>
      <c r="F158" s="261">
        <v>0</v>
      </c>
      <c r="G158" s="262"/>
      <c r="H158" s="262"/>
      <c r="I158" s="242">
        <f>I157-L157</f>
        <v>42148736.822249398</v>
      </c>
      <c r="J158" s="243"/>
      <c r="K158" s="263"/>
      <c r="L158" s="261">
        <f t="shared" si="11"/>
        <v>0</v>
      </c>
      <c r="M158" s="262"/>
      <c r="N158" s="264"/>
      <c r="O158" s="6"/>
    </row>
    <row r="159" spans="2:15">
      <c r="B159" s="5"/>
      <c r="C159" s="100" t="s">
        <v>176</v>
      </c>
      <c r="D159" s="29"/>
      <c r="E159" s="29"/>
      <c r="F159" s="261">
        <v>0</v>
      </c>
      <c r="G159" s="262"/>
      <c r="H159" s="262"/>
      <c r="I159" s="242">
        <f>I158-L158</f>
        <v>42148736.822249398</v>
      </c>
      <c r="J159" s="243"/>
      <c r="K159" s="263"/>
      <c r="L159" s="261">
        <f t="shared" si="11"/>
        <v>0</v>
      </c>
      <c r="M159" s="262"/>
      <c r="N159" s="264"/>
      <c r="O159" s="6"/>
    </row>
    <row r="160" spans="2:15">
      <c r="B160" s="5"/>
      <c r="C160" s="100" t="s">
        <v>177</v>
      </c>
      <c r="D160" s="29"/>
      <c r="E160" s="29"/>
      <c r="F160" s="261">
        <f>I203</f>
        <v>0</v>
      </c>
      <c r="G160" s="262"/>
      <c r="H160" s="262"/>
      <c r="I160" s="242">
        <f>I156-L156</f>
        <v>42148736.822249398</v>
      </c>
      <c r="J160" s="243"/>
      <c r="K160" s="263"/>
      <c r="L160" s="261">
        <f t="shared" si="11"/>
        <v>0</v>
      </c>
      <c r="M160" s="262"/>
      <c r="N160" s="264"/>
      <c r="O160" s="6"/>
    </row>
    <row r="161" spans="2:15">
      <c r="B161" s="5"/>
      <c r="C161" s="79" t="s">
        <v>178</v>
      </c>
      <c r="D161" s="66"/>
      <c r="E161" s="66"/>
      <c r="F161" s="261">
        <f>SUM(F162,F166:G167)</f>
        <v>6667915.1599999871</v>
      </c>
      <c r="G161" s="262"/>
      <c r="H161" s="262"/>
      <c r="I161" s="261">
        <f>I160-L160</f>
        <v>42148736.822249398</v>
      </c>
      <c r="J161" s="262"/>
      <c r="K161" s="269"/>
      <c r="L161" s="261">
        <f>SUM(L162,L166:M167)</f>
        <v>6667915.1599999871</v>
      </c>
      <c r="M161" s="262"/>
      <c r="N161" s="264"/>
      <c r="O161" s="6"/>
    </row>
    <row r="162" spans="2:15">
      <c r="B162" s="5"/>
      <c r="C162" s="52" t="s">
        <v>179</v>
      </c>
      <c r="D162" s="33"/>
      <c r="E162" s="33"/>
      <c r="F162" s="265">
        <f>SUM(F163:G165)</f>
        <v>6667915.1599999871</v>
      </c>
      <c r="G162" s="266"/>
      <c r="H162" s="122"/>
      <c r="I162" s="265">
        <f>F162/$F$161*I161</f>
        <v>42148736.822249398</v>
      </c>
      <c r="J162" s="266"/>
      <c r="K162" s="122"/>
      <c r="L162" s="265">
        <f t="shared" ref="L162:L169" si="13">F162</f>
        <v>6667915.1599999871</v>
      </c>
      <c r="M162" s="266"/>
      <c r="N162" s="123"/>
      <c r="O162" s="6"/>
    </row>
    <row r="163" spans="2:15">
      <c r="B163" s="5"/>
      <c r="C163" s="76" t="s">
        <v>180</v>
      </c>
      <c r="D163" s="33"/>
      <c r="E163" s="33"/>
      <c r="F163" s="265">
        <f>J99</f>
        <v>6667915.1599999871</v>
      </c>
      <c r="G163" s="266"/>
      <c r="H163" s="122"/>
      <c r="I163" s="265">
        <f>F163/$F$161*I161</f>
        <v>42148736.822249398</v>
      </c>
      <c r="J163" s="266"/>
      <c r="K163" s="122"/>
      <c r="L163" s="265">
        <f t="shared" si="13"/>
        <v>6667915.1599999871</v>
      </c>
      <c r="M163" s="266"/>
      <c r="N163" s="123"/>
      <c r="O163" s="6"/>
    </row>
    <row r="164" spans="2:15">
      <c r="B164" s="5"/>
      <c r="C164" s="76" t="s">
        <v>181</v>
      </c>
      <c r="D164" s="33"/>
      <c r="E164" s="33"/>
      <c r="F164" s="265">
        <v>0</v>
      </c>
      <c r="G164" s="266"/>
      <c r="H164" s="122"/>
      <c r="I164" s="265">
        <f>F164/$F$161*I161</f>
        <v>0</v>
      </c>
      <c r="J164" s="266"/>
      <c r="K164" s="122"/>
      <c r="L164" s="265">
        <f t="shared" si="13"/>
        <v>0</v>
      </c>
      <c r="M164" s="266"/>
      <c r="N164" s="123"/>
      <c r="O164" s="6"/>
    </row>
    <row r="165" spans="2:15">
      <c r="B165" s="5"/>
      <c r="C165" s="76" t="s">
        <v>182</v>
      </c>
      <c r="D165" s="33"/>
      <c r="E165" s="33"/>
      <c r="F165" s="265">
        <v>0</v>
      </c>
      <c r="G165" s="266"/>
      <c r="H165" s="122"/>
      <c r="I165" s="265">
        <f>F165/$F$161*I161</f>
        <v>0</v>
      </c>
      <c r="J165" s="266"/>
      <c r="K165" s="122"/>
      <c r="L165" s="265">
        <f t="shared" si="13"/>
        <v>0</v>
      </c>
      <c r="M165" s="266"/>
      <c r="N165" s="123"/>
      <c r="O165" s="6"/>
    </row>
    <row r="166" spans="2:15">
      <c r="B166" s="5"/>
      <c r="C166" s="52" t="s">
        <v>183</v>
      </c>
      <c r="D166" s="33"/>
      <c r="E166" s="33"/>
      <c r="F166" s="265">
        <v>0</v>
      </c>
      <c r="G166" s="266"/>
      <c r="H166" s="122"/>
      <c r="I166" s="265">
        <f>F166/$F$161*I161</f>
        <v>0</v>
      </c>
      <c r="J166" s="266"/>
      <c r="K166" s="122"/>
      <c r="L166" s="265">
        <f t="shared" si="13"/>
        <v>0</v>
      </c>
      <c r="M166" s="266"/>
      <c r="N166" s="123"/>
      <c r="O166" s="6"/>
    </row>
    <row r="167" spans="2:15">
      <c r="B167" s="5"/>
      <c r="C167" s="72" t="s">
        <v>184</v>
      </c>
      <c r="D167" s="73"/>
      <c r="E167" s="73"/>
      <c r="F167" s="265">
        <v>0</v>
      </c>
      <c r="G167" s="266"/>
      <c r="H167" s="120"/>
      <c r="I167" s="267">
        <f>F167/$F$161*I161</f>
        <v>0</v>
      </c>
      <c r="J167" s="268"/>
      <c r="K167" s="120"/>
      <c r="L167" s="265">
        <f t="shared" si="13"/>
        <v>0</v>
      </c>
      <c r="M167" s="266"/>
      <c r="N167" s="121"/>
      <c r="O167" s="6"/>
    </row>
    <row r="168" spans="2:15">
      <c r="B168" s="5"/>
      <c r="C168" s="100" t="s">
        <v>185</v>
      </c>
      <c r="D168" s="29"/>
      <c r="E168" s="29"/>
      <c r="F168" s="261">
        <f>I194</f>
        <v>24669669.745499998</v>
      </c>
      <c r="G168" s="262"/>
      <c r="H168" s="262"/>
      <c r="I168" s="242">
        <f>I161-L161</f>
        <v>35480821.662249409</v>
      </c>
      <c r="J168" s="243"/>
      <c r="K168" s="263"/>
      <c r="L168" s="261">
        <f t="shared" si="13"/>
        <v>24669669.745499998</v>
      </c>
      <c r="M168" s="262"/>
      <c r="N168" s="264"/>
      <c r="O168" s="6"/>
    </row>
    <row r="169" spans="2:15">
      <c r="B169" s="5"/>
      <c r="C169" s="100" t="s">
        <v>186</v>
      </c>
      <c r="D169" s="29"/>
      <c r="E169" s="29"/>
      <c r="F169" s="261">
        <v>0</v>
      </c>
      <c r="G169" s="262"/>
      <c r="H169" s="262"/>
      <c r="I169" s="242">
        <f>I168-L168</f>
        <v>10811151.91674941</v>
      </c>
      <c r="J169" s="243"/>
      <c r="K169" s="263"/>
      <c r="L169" s="261">
        <f t="shared" si="13"/>
        <v>0</v>
      </c>
      <c r="M169" s="262"/>
      <c r="N169" s="264"/>
      <c r="O169" s="6"/>
    </row>
    <row r="170" spans="2:15">
      <c r="B170" s="5"/>
      <c r="C170" s="79" t="s">
        <v>187</v>
      </c>
      <c r="D170" s="66"/>
      <c r="E170" s="66"/>
      <c r="F170" s="261">
        <f>SUM(F171:G172)</f>
        <v>0</v>
      </c>
      <c r="G170" s="262"/>
      <c r="H170" s="262"/>
      <c r="I170" s="261">
        <f>I169-L169</f>
        <v>10811151.91674941</v>
      </c>
      <c r="J170" s="262"/>
      <c r="K170" s="269"/>
      <c r="L170" s="261">
        <f>SUM(L171:M172)</f>
        <v>0</v>
      </c>
      <c r="M170" s="262"/>
      <c r="N170" s="264"/>
      <c r="O170" s="6"/>
    </row>
    <row r="171" spans="2:15">
      <c r="B171" s="5"/>
      <c r="C171" s="52" t="s">
        <v>183</v>
      </c>
      <c r="D171" s="33"/>
      <c r="E171" s="33"/>
      <c r="F171" s="265">
        <v>0</v>
      </c>
      <c r="G171" s="266"/>
      <c r="H171" s="114"/>
      <c r="I171" s="270">
        <f>IFERROR(F171/$F$170*$I$170,0)</f>
        <v>0</v>
      </c>
      <c r="J171" s="271"/>
      <c r="K171" s="114"/>
      <c r="L171" s="265">
        <f>F171</f>
        <v>0</v>
      </c>
      <c r="M171" s="266"/>
      <c r="N171" s="116"/>
      <c r="O171" s="6"/>
    </row>
    <row r="172" spans="2:15">
      <c r="B172" s="5"/>
      <c r="C172" s="72" t="s">
        <v>184</v>
      </c>
      <c r="D172" s="73"/>
      <c r="E172" s="73"/>
      <c r="F172" s="265">
        <v>0</v>
      </c>
      <c r="G172" s="266"/>
      <c r="H172" s="114"/>
      <c r="I172" s="267">
        <f>IFERROR(F172/$F$170*$I$170,0)</f>
        <v>0</v>
      </c>
      <c r="J172" s="268"/>
      <c r="K172" s="114"/>
      <c r="L172" s="265">
        <f>F172</f>
        <v>0</v>
      </c>
      <c r="M172" s="266"/>
      <c r="N172" s="116"/>
      <c r="O172" s="6"/>
    </row>
    <row r="173" spans="2:15">
      <c r="B173" s="5"/>
      <c r="C173" s="100" t="s">
        <v>188</v>
      </c>
      <c r="D173" s="73"/>
      <c r="E173" s="73"/>
      <c r="F173" s="261">
        <v>0</v>
      </c>
      <c r="G173" s="262"/>
      <c r="H173" s="262"/>
      <c r="I173" s="242">
        <f>I170-L170</f>
        <v>10811151.91674941</v>
      </c>
      <c r="J173" s="243"/>
      <c r="K173" s="263"/>
      <c r="L173" s="261">
        <f>F173</f>
        <v>0</v>
      </c>
      <c r="M173" s="262"/>
      <c r="N173" s="264"/>
      <c r="O173" s="6"/>
    </row>
    <row r="174" spans="2:15">
      <c r="B174" s="5"/>
      <c r="C174" s="100" t="s">
        <v>189</v>
      </c>
      <c r="D174" s="29"/>
      <c r="E174" s="29"/>
      <c r="F174" s="261">
        <v>0</v>
      </c>
      <c r="G174" s="262"/>
      <c r="H174" s="262"/>
      <c r="I174" s="242">
        <f>I173-L173</f>
        <v>10811151.91674941</v>
      </c>
      <c r="J174" s="243"/>
      <c r="K174" s="263"/>
      <c r="L174" s="261">
        <f>F174</f>
        <v>0</v>
      </c>
      <c r="M174" s="262"/>
      <c r="N174" s="264"/>
      <c r="O174" s="6"/>
    </row>
    <row r="175" spans="2:15">
      <c r="B175" s="5"/>
      <c r="C175" s="79" t="s">
        <v>190</v>
      </c>
      <c r="D175" s="66"/>
      <c r="E175" s="66"/>
      <c r="F175" s="261">
        <f>SUM(F176:H176)</f>
        <v>0</v>
      </c>
      <c r="G175" s="262"/>
      <c r="H175" s="262"/>
      <c r="I175" s="261">
        <f>I174-L174</f>
        <v>10811151.91674941</v>
      </c>
      <c r="J175" s="262"/>
      <c r="K175" s="269"/>
      <c r="L175" s="261">
        <f>SUM(L176)</f>
        <v>0</v>
      </c>
      <c r="M175" s="262"/>
      <c r="N175" s="264"/>
      <c r="O175" s="6"/>
    </row>
    <row r="176" spans="2:15">
      <c r="B176" s="5"/>
      <c r="C176" s="72" t="s">
        <v>184</v>
      </c>
      <c r="D176" s="73"/>
      <c r="E176" s="73"/>
      <c r="F176" s="265">
        <v>0</v>
      </c>
      <c r="G176" s="266"/>
      <c r="H176" s="114"/>
      <c r="I176" s="267">
        <f>I175</f>
        <v>10811151.91674941</v>
      </c>
      <c r="J176" s="268"/>
      <c r="K176" s="114"/>
      <c r="L176" s="265">
        <f>F176</f>
        <v>0</v>
      </c>
      <c r="M176" s="266"/>
      <c r="N176" s="116"/>
      <c r="O176" s="6"/>
    </row>
    <row r="177" spans="2:15">
      <c r="B177" s="5"/>
      <c r="C177" s="100" t="s">
        <v>191</v>
      </c>
      <c r="D177" s="29"/>
      <c r="E177" s="29"/>
      <c r="F177" s="261">
        <v>0</v>
      </c>
      <c r="G177" s="262"/>
      <c r="H177" s="262"/>
      <c r="I177" s="242">
        <f>I175-L175</f>
        <v>10811151.91674941</v>
      </c>
      <c r="J177" s="243"/>
      <c r="K177" s="263"/>
      <c r="L177" s="261">
        <f>F177</f>
        <v>0</v>
      </c>
      <c r="M177" s="262"/>
      <c r="N177" s="264"/>
      <c r="O177" s="6"/>
    </row>
    <row r="178" spans="2:15">
      <c r="B178" s="5"/>
      <c r="C178" s="100" t="s">
        <v>192</v>
      </c>
      <c r="D178" s="29"/>
      <c r="E178" s="29"/>
      <c r="F178" s="261">
        <v>0</v>
      </c>
      <c r="G178" s="262"/>
      <c r="H178" s="262"/>
      <c r="I178" s="242">
        <f>I177-L177</f>
        <v>10811151.91674941</v>
      </c>
      <c r="J178" s="243"/>
      <c r="K178" s="263"/>
      <c r="L178" s="261">
        <f>F178</f>
        <v>0</v>
      </c>
      <c r="M178" s="262"/>
      <c r="N178" s="264"/>
      <c r="O178" s="6"/>
    </row>
    <row r="179" spans="2:15">
      <c r="B179" s="5"/>
      <c r="C179" s="100" t="s">
        <v>193</v>
      </c>
      <c r="D179" s="29"/>
      <c r="E179" s="29"/>
      <c r="F179" s="261">
        <v>0</v>
      </c>
      <c r="G179" s="262"/>
      <c r="H179" s="262"/>
      <c r="I179" s="242">
        <f>I178-L178</f>
        <v>10811151.91674941</v>
      </c>
      <c r="J179" s="243"/>
      <c r="K179" s="263"/>
      <c r="L179" s="261">
        <f>F179</f>
        <v>0</v>
      </c>
      <c r="M179" s="262"/>
      <c r="N179" s="264"/>
      <c r="O179" s="6"/>
    </row>
    <row r="180" spans="2:15">
      <c r="B180" s="5"/>
      <c r="C180" s="79" t="s">
        <v>194</v>
      </c>
      <c r="D180" s="66"/>
      <c r="E180" s="66"/>
      <c r="F180" s="261">
        <f>SUM(F181:G183)</f>
        <v>4744127.2221423499</v>
      </c>
      <c r="G180" s="262"/>
      <c r="H180" s="262"/>
      <c r="I180" s="261">
        <f>I179-L179</f>
        <v>10811151.91674941</v>
      </c>
      <c r="J180" s="262"/>
      <c r="K180" s="269"/>
      <c r="L180" s="261">
        <f>SUM(L181:M183)</f>
        <v>4744127.2221423499</v>
      </c>
      <c r="M180" s="262"/>
      <c r="N180" s="264"/>
      <c r="O180" s="6"/>
    </row>
    <row r="181" spans="2:15">
      <c r="B181" s="5"/>
      <c r="C181" s="52" t="s">
        <v>195</v>
      </c>
      <c r="D181" s="33"/>
      <c r="E181" s="33"/>
      <c r="F181" s="265">
        <f>I214</f>
        <v>4744127.2221423499</v>
      </c>
      <c r="G181" s="266"/>
      <c r="H181" s="114"/>
      <c r="I181" s="265">
        <f>F181/$F$180*I180</f>
        <v>10811151.91674941</v>
      </c>
      <c r="J181" s="266"/>
      <c r="K181" s="114"/>
      <c r="L181" s="265">
        <f>F181</f>
        <v>4744127.2221423499</v>
      </c>
      <c r="M181" s="266"/>
      <c r="N181" s="116"/>
      <c r="O181" s="6"/>
    </row>
    <row r="182" spans="2:15">
      <c r="B182" s="5"/>
      <c r="C182" s="52" t="s">
        <v>196</v>
      </c>
      <c r="D182" s="33"/>
      <c r="E182" s="33"/>
      <c r="F182" s="265">
        <v>0</v>
      </c>
      <c r="G182" s="266"/>
      <c r="H182" s="114"/>
      <c r="I182" s="265">
        <f>F182/$F$180*I181</f>
        <v>0</v>
      </c>
      <c r="J182" s="266"/>
      <c r="K182" s="114"/>
      <c r="L182" s="265">
        <f>F182</f>
        <v>0</v>
      </c>
      <c r="M182" s="266"/>
      <c r="N182" s="116"/>
      <c r="O182" s="6"/>
    </row>
    <row r="183" spans="2:15">
      <c r="B183" s="5"/>
      <c r="C183" s="72" t="s">
        <v>197</v>
      </c>
      <c r="D183" s="73"/>
      <c r="E183" s="73"/>
      <c r="F183" s="265">
        <v>0</v>
      </c>
      <c r="G183" s="266"/>
      <c r="H183" s="114"/>
      <c r="I183" s="267">
        <f>F183/$F$180*I180</f>
        <v>0</v>
      </c>
      <c r="J183" s="268"/>
      <c r="K183" s="114"/>
      <c r="L183" s="265">
        <f>F183</f>
        <v>0</v>
      </c>
      <c r="M183" s="266"/>
      <c r="N183" s="116"/>
      <c r="O183" s="6"/>
    </row>
    <row r="184" spans="2:15">
      <c r="B184" s="5"/>
      <c r="C184" s="100" t="s">
        <v>198</v>
      </c>
      <c r="D184" s="29"/>
      <c r="E184" s="29"/>
      <c r="F184" s="261">
        <v>0</v>
      </c>
      <c r="G184" s="262"/>
      <c r="H184" s="262"/>
      <c r="I184" s="242">
        <f>I180-L180</f>
        <v>6067024.6946070604</v>
      </c>
      <c r="J184" s="243"/>
      <c r="K184" s="263"/>
      <c r="L184" s="261">
        <f>F184</f>
        <v>0</v>
      </c>
      <c r="M184" s="262"/>
      <c r="N184" s="264"/>
      <c r="O184" s="6"/>
    </row>
    <row r="185" spans="2:15">
      <c r="B185" s="5"/>
      <c r="C185" s="100" t="s">
        <v>199</v>
      </c>
      <c r="D185" s="29"/>
      <c r="E185" s="29"/>
      <c r="F185" s="261">
        <v>6067025</v>
      </c>
      <c r="G185" s="262"/>
      <c r="H185" s="262"/>
      <c r="I185" s="242">
        <f>I180-L180</f>
        <v>6067024.6946070604</v>
      </c>
      <c r="J185" s="243"/>
      <c r="K185" s="263"/>
      <c r="L185" s="261">
        <f>F185</f>
        <v>6067025</v>
      </c>
      <c r="M185" s="262"/>
      <c r="N185" s="264"/>
      <c r="O185" s="6"/>
    </row>
    <row r="186" spans="2:15" ht="15.75" thickBot="1">
      <c r="B186" s="5"/>
      <c r="C186" s="124" t="s">
        <v>200</v>
      </c>
      <c r="D186" s="125"/>
      <c r="E186" s="126"/>
      <c r="F186" s="254">
        <f>SUM(F138,F139,F142,F145,F149,F150,F151,F155:H161,F168:H170,F173:H175,F177:H180,F184:H185)</f>
        <v>65960184.110171527</v>
      </c>
      <c r="G186" s="255"/>
      <c r="H186" s="256"/>
      <c r="I186" s="254">
        <f>I138</f>
        <v>65960183.804778591</v>
      </c>
      <c r="J186" s="255"/>
      <c r="K186" s="256"/>
      <c r="L186" s="254">
        <f>I186</f>
        <v>65960183.804778591</v>
      </c>
      <c r="M186" s="255"/>
      <c r="N186" s="257"/>
      <c r="O186" s="6"/>
    </row>
    <row r="187" spans="2:15" ht="15.75" thickBot="1">
      <c r="B187" s="5"/>
      <c r="C187" s="89"/>
      <c r="D187" s="7"/>
      <c r="E187" s="7"/>
      <c r="F187" s="7"/>
      <c r="G187" s="7"/>
      <c r="H187" s="7"/>
      <c r="I187" s="7"/>
      <c r="J187" s="7"/>
      <c r="K187" s="7"/>
      <c r="L187" s="7"/>
      <c r="M187" s="7"/>
      <c r="N187" s="7"/>
      <c r="O187" s="6"/>
    </row>
    <row r="188" spans="2:15">
      <c r="B188" s="5"/>
      <c r="C188" s="258" t="s">
        <v>201</v>
      </c>
      <c r="D188" s="259"/>
      <c r="E188" s="259"/>
      <c r="F188" s="259"/>
      <c r="G188" s="259"/>
      <c r="H188" s="259"/>
      <c r="I188" s="259"/>
      <c r="J188" s="259"/>
      <c r="K188" s="259"/>
      <c r="L188" s="259"/>
      <c r="M188" s="259"/>
      <c r="N188" s="260"/>
      <c r="O188" s="6"/>
    </row>
    <row r="189" spans="2:15">
      <c r="B189" s="5"/>
      <c r="C189" s="100" t="s">
        <v>202</v>
      </c>
      <c r="D189" s="127"/>
      <c r="E189" s="127"/>
      <c r="F189" s="127"/>
      <c r="G189" s="127"/>
      <c r="H189" s="128"/>
      <c r="I189" s="242">
        <v>24669669.745499998</v>
      </c>
      <c r="J189" s="243"/>
      <c r="K189" s="243"/>
      <c r="L189" s="243"/>
      <c r="M189" s="243"/>
      <c r="N189" s="244"/>
      <c r="O189" s="6"/>
    </row>
    <row r="190" spans="2:15">
      <c r="B190" s="5"/>
      <c r="C190" s="100" t="s">
        <v>203</v>
      </c>
      <c r="D190" s="21"/>
      <c r="E190" s="21"/>
      <c r="F190" s="21"/>
      <c r="G190" s="21"/>
      <c r="H190" s="23"/>
      <c r="I190" s="242">
        <f>I189</f>
        <v>24669669.745499998</v>
      </c>
      <c r="J190" s="243"/>
      <c r="K190" s="243"/>
      <c r="L190" s="243"/>
      <c r="M190" s="243"/>
      <c r="N190" s="244"/>
      <c r="O190" s="6"/>
    </row>
    <row r="191" spans="2:15">
      <c r="B191" s="5"/>
      <c r="C191" s="22" t="s">
        <v>204</v>
      </c>
      <c r="D191" s="21"/>
      <c r="E191" s="21"/>
      <c r="F191" s="21"/>
      <c r="G191" s="21"/>
      <c r="H191" s="23"/>
      <c r="I191" s="242">
        <v>0</v>
      </c>
      <c r="J191" s="243"/>
      <c r="K191" s="243"/>
      <c r="L191" s="243"/>
      <c r="M191" s="243"/>
      <c r="N191" s="244"/>
      <c r="O191" s="6"/>
    </row>
    <row r="192" spans="2:15">
      <c r="B192" s="5"/>
      <c r="C192" s="22" t="s">
        <v>205</v>
      </c>
      <c r="D192" s="21"/>
      <c r="E192" s="21"/>
      <c r="F192" s="21"/>
      <c r="G192" s="21"/>
      <c r="H192" s="23"/>
      <c r="I192" s="242">
        <v>0</v>
      </c>
      <c r="J192" s="243"/>
      <c r="K192" s="243"/>
      <c r="L192" s="243"/>
      <c r="M192" s="243"/>
      <c r="N192" s="244"/>
      <c r="O192" s="6"/>
    </row>
    <row r="193" spans="2:15">
      <c r="B193" s="5"/>
      <c r="C193" s="22" t="s">
        <v>206</v>
      </c>
      <c r="D193" s="21"/>
      <c r="E193" s="21"/>
      <c r="F193" s="21"/>
      <c r="G193" s="21"/>
      <c r="H193" s="23"/>
      <c r="I193" s="242">
        <v>0</v>
      </c>
      <c r="J193" s="243"/>
      <c r="K193" s="243"/>
      <c r="L193" s="243"/>
      <c r="M193" s="243"/>
      <c r="N193" s="244"/>
      <c r="O193" s="6"/>
    </row>
    <row r="194" spans="2:15" ht="15.75" thickBot="1">
      <c r="B194" s="5"/>
      <c r="C194" s="27" t="s">
        <v>207</v>
      </c>
      <c r="D194" s="28"/>
      <c r="E194" s="28"/>
      <c r="F194" s="28"/>
      <c r="G194" s="28"/>
      <c r="H194" s="102"/>
      <c r="I194" s="251">
        <f>I189-I192+I193</f>
        <v>24669669.745499998</v>
      </c>
      <c r="J194" s="252"/>
      <c r="K194" s="252"/>
      <c r="L194" s="252"/>
      <c r="M194" s="252"/>
      <c r="N194" s="253"/>
      <c r="O194" s="6"/>
    </row>
    <row r="195" spans="2:15" ht="15.75" thickBot="1">
      <c r="B195" s="5"/>
      <c r="C195" s="7"/>
      <c r="D195" s="7"/>
      <c r="E195" s="7"/>
      <c r="F195" s="7"/>
      <c r="G195" s="7"/>
      <c r="H195" s="7"/>
      <c r="I195" s="7"/>
      <c r="J195" s="7"/>
      <c r="K195" s="7"/>
      <c r="L195" s="7"/>
      <c r="M195" s="7"/>
      <c r="N195" s="7"/>
      <c r="O195" s="6"/>
    </row>
    <row r="196" spans="2:15">
      <c r="B196" s="5"/>
      <c r="C196" s="227" t="s">
        <v>208</v>
      </c>
      <c r="D196" s="228"/>
      <c r="E196" s="228"/>
      <c r="F196" s="228"/>
      <c r="G196" s="228"/>
      <c r="H196" s="228"/>
      <c r="I196" s="228"/>
      <c r="J196" s="228"/>
      <c r="K196" s="228"/>
      <c r="L196" s="228"/>
      <c r="M196" s="228"/>
      <c r="N196" s="229"/>
      <c r="O196" s="6"/>
    </row>
    <row r="197" spans="2:15">
      <c r="B197" s="5"/>
      <c r="C197" s="100" t="s">
        <v>209</v>
      </c>
      <c r="D197" s="127"/>
      <c r="E197" s="127"/>
      <c r="F197" s="127"/>
      <c r="G197" s="127"/>
      <c r="H197" s="128"/>
      <c r="I197" s="245">
        <v>0</v>
      </c>
      <c r="J197" s="246"/>
      <c r="K197" s="246"/>
      <c r="L197" s="246"/>
      <c r="M197" s="246"/>
      <c r="N197" s="247"/>
      <c r="O197" s="6"/>
    </row>
    <row r="198" spans="2:15">
      <c r="B198" s="5"/>
      <c r="C198" s="100" t="s">
        <v>210</v>
      </c>
      <c r="D198" s="127"/>
      <c r="E198" s="127"/>
      <c r="F198" s="127"/>
      <c r="G198" s="127"/>
      <c r="H198" s="128"/>
      <c r="I198" s="239">
        <v>0</v>
      </c>
      <c r="J198" s="240"/>
      <c r="K198" s="240"/>
      <c r="L198" s="240"/>
      <c r="M198" s="240"/>
      <c r="N198" s="241"/>
      <c r="O198" s="6"/>
    </row>
    <row r="199" spans="2:15">
      <c r="B199" s="5"/>
      <c r="C199" s="100" t="s">
        <v>211</v>
      </c>
      <c r="D199" s="127"/>
      <c r="E199" s="127"/>
      <c r="F199" s="127"/>
      <c r="G199" s="127"/>
      <c r="H199" s="128"/>
      <c r="I199" s="242">
        <v>0</v>
      </c>
      <c r="J199" s="243"/>
      <c r="K199" s="243"/>
      <c r="L199" s="243"/>
      <c r="M199" s="243"/>
      <c r="N199" s="244"/>
      <c r="O199" s="6"/>
    </row>
    <row r="200" spans="2:15">
      <c r="B200" s="5"/>
      <c r="C200" s="100" t="s">
        <v>212</v>
      </c>
      <c r="D200" s="127"/>
      <c r="E200" s="127"/>
      <c r="F200" s="127"/>
      <c r="G200" s="127"/>
      <c r="H200" s="128"/>
      <c r="I200" s="242">
        <f>I197+I198-I199</f>
        <v>0</v>
      </c>
      <c r="J200" s="243"/>
      <c r="K200" s="243"/>
      <c r="L200" s="243"/>
      <c r="M200" s="243"/>
      <c r="N200" s="244"/>
      <c r="O200" s="6"/>
    </row>
    <row r="201" spans="2:15">
      <c r="B201" s="5"/>
      <c r="C201" s="100" t="s">
        <v>213</v>
      </c>
      <c r="D201" s="127"/>
      <c r="E201" s="127"/>
      <c r="F201" s="127"/>
      <c r="G201" s="127"/>
      <c r="H201" s="128"/>
      <c r="I201" s="242">
        <v>0</v>
      </c>
      <c r="J201" s="243"/>
      <c r="K201" s="243"/>
      <c r="L201" s="243"/>
      <c r="M201" s="243"/>
      <c r="N201" s="244"/>
      <c r="O201" s="6"/>
    </row>
    <row r="202" spans="2:15">
      <c r="B202" s="5"/>
      <c r="C202" s="100" t="s">
        <v>214</v>
      </c>
      <c r="D202" s="127"/>
      <c r="E202" s="127"/>
      <c r="F202" s="127"/>
      <c r="G202" s="127"/>
      <c r="H202" s="128"/>
      <c r="I202" s="245">
        <v>0</v>
      </c>
      <c r="J202" s="246"/>
      <c r="K202" s="246"/>
      <c r="L202" s="246"/>
      <c r="M202" s="246"/>
      <c r="N202" s="247"/>
      <c r="O202" s="6"/>
    </row>
    <row r="203" spans="2:15" ht="15.75" thickBot="1">
      <c r="B203" s="5"/>
      <c r="C203" s="129" t="s">
        <v>215</v>
      </c>
      <c r="D203" s="130"/>
      <c r="E203" s="130"/>
      <c r="F203" s="130"/>
      <c r="G203" s="130"/>
      <c r="H203" s="131"/>
      <c r="I203" s="248">
        <f>I200-I201+I202</f>
        <v>0</v>
      </c>
      <c r="J203" s="249"/>
      <c r="K203" s="249"/>
      <c r="L203" s="249"/>
      <c r="M203" s="249"/>
      <c r="N203" s="250"/>
      <c r="O203" s="6"/>
    </row>
    <row r="204" spans="2:15" ht="15.75" thickBot="1">
      <c r="B204" s="5"/>
      <c r="C204" s="132"/>
      <c r="D204" s="133"/>
      <c r="E204" s="133"/>
      <c r="F204" s="133"/>
      <c r="G204" s="133"/>
      <c r="H204" s="133"/>
      <c r="I204" s="134"/>
      <c r="J204" s="134"/>
      <c r="K204" s="134"/>
      <c r="L204" s="134"/>
      <c r="M204" s="134"/>
      <c r="N204" s="134"/>
      <c r="O204" s="6"/>
    </row>
    <row r="205" spans="2:15">
      <c r="B205" s="5"/>
      <c r="C205" s="227" t="s">
        <v>216</v>
      </c>
      <c r="D205" s="228"/>
      <c r="E205" s="228"/>
      <c r="F205" s="228"/>
      <c r="G205" s="228"/>
      <c r="H205" s="228"/>
      <c r="I205" s="228"/>
      <c r="J205" s="228"/>
      <c r="K205" s="228"/>
      <c r="L205" s="228"/>
      <c r="M205" s="228"/>
      <c r="N205" s="229"/>
      <c r="O205" s="6"/>
    </row>
    <row r="206" spans="2:15">
      <c r="B206" s="5"/>
      <c r="C206" s="25" t="s">
        <v>217</v>
      </c>
      <c r="D206" s="21"/>
      <c r="E206" s="127"/>
      <c r="F206" s="127"/>
      <c r="G206" s="127"/>
      <c r="H206" s="128"/>
      <c r="I206" s="230">
        <f>10%</f>
        <v>0.1</v>
      </c>
      <c r="J206" s="231"/>
      <c r="K206" s="231"/>
      <c r="L206" s="231"/>
      <c r="M206" s="231"/>
      <c r="N206" s="232"/>
      <c r="O206" s="6"/>
    </row>
    <row r="207" spans="2:15">
      <c r="B207" s="5"/>
      <c r="C207" s="22"/>
      <c r="D207" s="29"/>
      <c r="E207" s="233" t="s">
        <v>218</v>
      </c>
      <c r="F207" s="234"/>
      <c r="G207" s="235" t="s">
        <v>219</v>
      </c>
      <c r="H207" s="236"/>
      <c r="I207" s="235" t="s">
        <v>220</v>
      </c>
      <c r="J207" s="204"/>
      <c r="K207" s="236"/>
      <c r="L207" s="236" t="s">
        <v>221</v>
      </c>
      <c r="M207" s="237"/>
      <c r="N207" s="238"/>
      <c r="O207" s="6"/>
    </row>
    <row r="208" spans="2:15">
      <c r="B208" s="5"/>
      <c r="C208" s="11" t="s">
        <v>222</v>
      </c>
      <c r="D208" s="33"/>
      <c r="E208" s="212">
        <f>J14</f>
        <v>44697</v>
      </c>
      <c r="F208" s="213"/>
      <c r="G208" s="214">
        <f>G29</f>
        <v>4.5080000000000002E-2</v>
      </c>
      <c r="H208" s="215"/>
      <c r="I208" s="191">
        <v>131159650.91499025</v>
      </c>
      <c r="J208" s="192"/>
      <c r="K208" s="216"/>
      <c r="L208" s="191">
        <f>I208</f>
        <v>131159650.91499025</v>
      </c>
      <c r="M208" s="192"/>
      <c r="N208" s="193"/>
      <c r="O208" s="6"/>
    </row>
    <row r="209" spans="2:17">
      <c r="B209" s="5"/>
      <c r="C209" s="65" t="s">
        <v>223</v>
      </c>
      <c r="D209" s="137"/>
      <c r="E209" s="217"/>
      <c r="F209" s="218"/>
      <c r="G209" s="219"/>
      <c r="H209" s="220"/>
      <c r="I209" s="221">
        <f>SUM(I210:K212)</f>
        <v>0</v>
      </c>
      <c r="J209" s="222"/>
      <c r="K209" s="223"/>
      <c r="L209" s="224">
        <f>I209</f>
        <v>0</v>
      </c>
      <c r="M209" s="225"/>
      <c r="N209" s="226"/>
      <c r="O209" s="6"/>
    </row>
    <row r="210" spans="2:17">
      <c r="B210" s="5"/>
      <c r="C210" s="52" t="s">
        <v>224</v>
      </c>
      <c r="D210" s="33"/>
      <c r="E210" s="205"/>
      <c r="F210" s="206"/>
      <c r="G210" s="207"/>
      <c r="H210" s="208"/>
      <c r="I210" s="209"/>
      <c r="J210" s="210"/>
      <c r="K210" s="211"/>
      <c r="L210" s="201">
        <f>I210</f>
        <v>0</v>
      </c>
      <c r="M210" s="202"/>
      <c r="N210" s="203"/>
      <c r="O210" s="6"/>
    </row>
    <row r="211" spans="2:17">
      <c r="B211" s="5"/>
      <c r="C211" s="52" t="s">
        <v>225</v>
      </c>
      <c r="D211" s="33"/>
      <c r="E211" s="205"/>
      <c r="F211" s="206"/>
      <c r="G211" s="207"/>
      <c r="H211" s="208"/>
      <c r="I211" s="209"/>
      <c r="J211" s="210"/>
      <c r="K211" s="211"/>
      <c r="L211" s="201"/>
      <c r="M211" s="202"/>
      <c r="N211" s="203"/>
      <c r="O211" s="6"/>
    </row>
    <row r="212" spans="2:17">
      <c r="B212" s="5"/>
      <c r="C212" s="52" t="s">
        <v>226</v>
      </c>
      <c r="D212" s="73"/>
      <c r="E212" s="194"/>
      <c r="F212" s="195"/>
      <c r="G212" s="196"/>
      <c r="H212" s="197"/>
      <c r="I212" s="198"/>
      <c r="J212" s="199"/>
      <c r="K212" s="200"/>
      <c r="L212" s="201"/>
      <c r="M212" s="202"/>
      <c r="N212" s="203"/>
      <c r="O212" s="6"/>
    </row>
    <row r="213" spans="2:17">
      <c r="B213" s="5"/>
      <c r="C213" s="65" t="s">
        <v>227</v>
      </c>
      <c r="D213" s="137"/>
      <c r="E213" s="204"/>
      <c r="F213" s="204"/>
      <c r="G213" s="138"/>
      <c r="H213" s="139"/>
      <c r="I213" s="191">
        <f>L208+L209</f>
        <v>131159650.91499025</v>
      </c>
      <c r="J213" s="192"/>
      <c r="K213" s="192"/>
      <c r="L213" s="192"/>
      <c r="M213" s="192"/>
      <c r="N213" s="193"/>
      <c r="O213" s="6"/>
    </row>
    <row r="214" spans="2:17">
      <c r="B214" s="5"/>
      <c r="C214" s="79" t="s">
        <v>228</v>
      </c>
      <c r="D214" s="91"/>
      <c r="E214" s="91"/>
      <c r="F214" s="91"/>
      <c r="G214" s="91"/>
      <c r="H214" s="92"/>
      <c r="I214" s="191">
        <f>I208*(G208+$I$206)*$J$16/365+I210*(G210+$I$206)*91/365</f>
        <v>4744127.2221423499</v>
      </c>
      <c r="J214" s="192"/>
      <c r="K214" s="192"/>
      <c r="L214" s="192"/>
      <c r="M214" s="192"/>
      <c r="N214" s="193"/>
      <c r="O214" s="6"/>
      <c r="P214" s="140"/>
      <c r="Q214" s="68"/>
    </row>
    <row r="215" spans="2:17">
      <c r="B215" s="5"/>
      <c r="C215" s="79" t="s">
        <v>229</v>
      </c>
      <c r="D215" s="91"/>
      <c r="E215" s="91"/>
      <c r="F215" s="91"/>
      <c r="G215" s="91"/>
      <c r="H215" s="92"/>
      <c r="I215" s="191">
        <v>0</v>
      </c>
      <c r="J215" s="192"/>
      <c r="K215" s="192"/>
      <c r="L215" s="192"/>
      <c r="M215" s="192"/>
      <c r="N215" s="193"/>
      <c r="O215" s="6"/>
    </row>
    <row r="216" spans="2:17">
      <c r="B216" s="5"/>
      <c r="C216" s="100" t="s">
        <v>230</v>
      </c>
      <c r="D216" s="127"/>
      <c r="E216" s="127"/>
      <c r="F216" s="127"/>
      <c r="G216" s="127"/>
      <c r="H216" s="128"/>
      <c r="I216" s="191">
        <f>L181</f>
        <v>4744127.2221423499</v>
      </c>
      <c r="J216" s="192"/>
      <c r="K216" s="192"/>
      <c r="L216" s="192"/>
      <c r="M216" s="192"/>
      <c r="N216" s="193"/>
      <c r="O216" s="6"/>
    </row>
    <row r="217" spans="2:17">
      <c r="B217" s="5"/>
      <c r="C217" s="100" t="s">
        <v>231</v>
      </c>
      <c r="D217" s="127"/>
      <c r="E217" s="127"/>
      <c r="F217" s="127"/>
      <c r="G217" s="127"/>
      <c r="H217" s="128"/>
      <c r="I217" s="191">
        <f>I214-I216</f>
        <v>0</v>
      </c>
      <c r="J217" s="192"/>
      <c r="K217" s="192"/>
      <c r="L217" s="192"/>
      <c r="M217" s="192"/>
      <c r="N217" s="193"/>
      <c r="O217" s="6"/>
    </row>
    <row r="218" spans="2:17">
      <c r="B218" s="5"/>
      <c r="C218" s="100" t="s">
        <v>232</v>
      </c>
      <c r="D218" s="127"/>
      <c r="E218" s="127"/>
      <c r="F218" s="127"/>
      <c r="G218" s="127"/>
      <c r="H218" s="128"/>
      <c r="I218" s="191">
        <f>F182</f>
        <v>0</v>
      </c>
      <c r="J218" s="192"/>
      <c r="K218" s="192"/>
      <c r="L218" s="192"/>
      <c r="M218" s="192"/>
      <c r="N218" s="193"/>
      <c r="O218" s="6"/>
    </row>
    <row r="219" spans="2:17">
      <c r="B219" s="5"/>
      <c r="C219" s="100" t="s">
        <v>233</v>
      </c>
      <c r="D219" s="127"/>
      <c r="E219" s="127"/>
      <c r="F219" s="127"/>
      <c r="G219" s="127"/>
      <c r="H219" s="128"/>
      <c r="I219" s="191">
        <v>0</v>
      </c>
      <c r="J219" s="192"/>
      <c r="K219" s="192"/>
      <c r="L219" s="192"/>
      <c r="M219" s="192"/>
      <c r="N219" s="193"/>
      <c r="O219" s="6"/>
    </row>
    <row r="220" spans="2:17" ht="15.75" thickBot="1">
      <c r="B220" s="5"/>
      <c r="C220" s="101" t="s">
        <v>234</v>
      </c>
      <c r="D220" s="141"/>
      <c r="E220" s="141"/>
      <c r="F220" s="141"/>
      <c r="G220" s="141"/>
      <c r="H220" s="142"/>
      <c r="I220" s="188">
        <f>I213+I217-I218</f>
        <v>131159650.91499025</v>
      </c>
      <c r="J220" s="189"/>
      <c r="K220" s="189"/>
      <c r="L220" s="189"/>
      <c r="M220" s="189"/>
      <c r="N220" s="190"/>
      <c r="O220" s="6"/>
    </row>
    <row r="221" spans="2:17" ht="15.75" thickBot="1">
      <c r="B221" s="143"/>
      <c r="C221" s="144"/>
      <c r="D221" s="144"/>
      <c r="E221" s="144"/>
      <c r="F221" s="144"/>
      <c r="G221" s="144"/>
      <c r="H221" s="144"/>
      <c r="I221" s="144"/>
      <c r="J221" s="144"/>
      <c r="K221" s="144"/>
      <c r="L221" s="144"/>
      <c r="M221" s="144"/>
      <c r="N221" s="144"/>
      <c r="O221" s="88"/>
    </row>
    <row r="228" spans="12:13">
      <c r="L228" s="145"/>
    </row>
    <row r="229" spans="12:13">
      <c r="M229" s="26"/>
    </row>
    <row r="230" spans="12:13">
      <c r="M230" s="146"/>
    </row>
    <row r="231" spans="12:13">
      <c r="M231" s="90"/>
    </row>
    <row r="232" spans="12:13">
      <c r="L232" s="145"/>
    </row>
    <row r="233" spans="12:13">
      <c r="M233" s="90"/>
    </row>
    <row r="234" spans="12:13">
      <c r="M234" s="26"/>
    </row>
    <row r="235" spans="12:13">
      <c r="M235" s="26"/>
    </row>
    <row r="236" spans="12:13">
      <c r="M236" s="147"/>
    </row>
    <row r="238" spans="12:13">
      <c r="M238" s="68"/>
    </row>
  </sheetData>
  <mergeCells count="309">
    <mergeCell ref="J12:N12"/>
    <mergeCell ref="J13:N13"/>
    <mergeCell ref="C14:E15"/>
    <mergeCell ref="J14:N14"/>
    <mergeCell ref="J15:N15"/>
    <mergeCell ref="J16:N16"/>
    <mergeCell ref="C3:N4"/>
    <mergeCell ref="C6:N6"/>
    <mergeCell ref="J8:N8"/>
    <mergeCell ref="J9:N9"/>
    <mergeCell ref="C10:E11"/>
    <mergeCell ref="J10:N10"/>
    <mergeCell ref="J11:N11"/>
    <mergeCell ref="C52:N52"/>
    <mergeCell ref="J53:N53"/>
    <mergeCell ref="J54:N54"/>
    <mergeCell ref="J55:N55"/>
    <mergeCell ref="J56:M56"/>
    <mergeCell ref="J57:M57"/>
    <mergeCell ref="J17:N17"/>
    <mergeCell ref="J18:N18"/>
    <mergeCell ref="J19:N19"/>
    <mergeCell ref="J20:N20"/>
    <mergeCell ref="C22:N22"/>
    <mergeCell ref="C51:N51"/>
    <mergeCell ref="J64:M64"/>
    <mergeCell ref="J65:M65"/>
    <mergeCell ref="J66:N66"/>
    <mergeCell ref="J67:M67"/>
    <mergeCell ref="J68:M68"/>
    <mergeCell ref="J69:M69"/>
    <mergeCell ref="J58:M58"/>
    <mergeCell ref="C59:N59"/>
    <mergeCell ref="J60:N60"/>
    <mergeCell ref="J61:M61"/>
    <mergeCell ref="J62:M62"/>
    <mergeCell ref="J63:N63"/>
    <mergeCell ref="J76:M76"/>
    <mergeCell ref="J77:M77"/>
    <mergeCell ref="J78:M78"/>
    <mergeCell ref="J79:N79"/>
    <mergeCell ref="C80:N80"/>
    <mergeCell ref="J81:N81"/>
    <mergeCell ref="J70:L70"/>
    <mergeCell ref="J71:L71"/>
    <mergeCell ref="J72:M72"/>
    <mergeCell ref="J73:L73"/>
    <mergeCell ref="J74:L74"/>
    <mergeCell ref="J75:M75"/>
    <mergeCell ref="J88:M88"/>
    <mergeCell ref="J89:M89"/>
    <mergeCell ref="J90:M90"/>
    <mergeCell ref="C91:N91"/>
    <mergeCell ref="J92:N92"/>
    <mergeCell ref="J93:M93"/>
    <mergeCell ref="J82:M82"/>
    <mergeCell ref="J83:M83"/>
    <mergeCell ref="J84:M84"/>
    <mergeCell ref="J85:L85"/>
    <mergeCell ref="J86:L86"/>
    <mergeCell ref="J87:M87"/>
    <mergeCell ref="J103:M103"/>
    <mergeCell ref="J104:M104"/>
    <mergeCell ref="J105:M105"/>
    <mergeCell ref="J106:M106"/>
    <mergeCell ref="J107:M107"/>
    <mergeCell ref="C109:N109"/>
    <mergeCell ref="J94:M94"/>
    <mergeCell ref="J95:M95"/>
    <mergeCell ref="J96:M96"/>
    <mergeCell ref="C98:N98"/>
    <mergeCell ref="J99:N99"/>
    <mergeCell ref="J100:M100"/>
    <mergeCell ref="J101:L101"/>
    <mergeCell ref="J102:L102"/>
    <mergeCell ref="G116:H116"/>
    <mergeCell ref="I116:J116"/>
    <mergeCell ref="K116:L116"/>
    <mergeCell ref="M116:N116"/>
    <mergeCell ref="G117:H117"/>
    <mergeCell ref="I117:J117"/>
    <mergeCell ref="K117:L117"/>
    <mergeCell ref="M117:N117"/>
    <mergeCell ref="I110:N110"/>
    <mergeCell ref="I111:N111"/>
    <mergeCell ref="I112:N112"/>
    <mergeCell ref="C114:N114"/>
    <mergeCell ref="G115:H115"/>
    <mergeCell ref="I115:J115"/>
    <mergeCell ref="K115:L115"/>
    <mergeCell ref="M115:N115"/>
    <mergeCell ref="J125:L125"/>
    <mergeCell ref="J126:L126"/>
    <mergeCell ref="J127:L127"/>
    <mergeCell ref="J128:L128"/>
    <mergeCell ref="J129:L129"/>
    <mergeCell ref="J130:L130"/>
    <mergeCell ref="C119:N119"/>
    <mergeCell ref="J120:M120"/>
    <mergeCell ref="J121:M121"/>
    <mergeCell ref="J122:M122"/>
    <mergeCell ref="J123:N123"/>
    <mergeCell ref="J124:M124"/>
    <mergeCell ref="J131:L131"/>
    <mergeCell ref="J132:N132"/>
    <mergeCell ref="J133:M133"/>
    <mergeCell ref="J134:N134"/>
    <mergeCell ref="C136:N136"/>
    <mergeCell ref="C137:E137"/>
    <mergeCell ref="F137:H137"/>
    <mergeCell ref="I137:K137"/>
    <mergeCell ref="L137:N137"/>
    <mergeCell ref="F140:G140"/>
    <mergeCell ref="I140:J140"/>
    <mergeCell ref="L140:M140"/>
    <mergeCell ref="F141:G141"/>
    <mergeCell ref="I141:J141"/>
    <mergeCell ref="L141:M141"/>
    <mergeCell ref="F138:H138"/>
    <mergeCell ref="I138:K138"/>
    <mergeCell ref="L138:N138"/>
    <mergeCell ref="F139:H139"/>
    <mergeCell ref="I139:K139"/>
    <mergeCell ref="L139:N139"/>
    <mergeCell ref="F144:G144"/>
    <mergeCell ref="I144:J144"/>
    <mergeCell ref="L144:M144"/>
    <mergeCell ref="F145:H145"/>
    <mergeCell ref="I145:K145"/>
    <mergeCell ref="L145:N145"/>
    <mergeCell ref="F142:H142"/>
    <mergeCell ref="I142:K142"/>
    <mergeCell ref="L142:N142"/>
    <mergeCell ref="F143:G143"/>
    <mergeCell ref="I143:J143"/>
    <mergeCell ref="L143:M143"/>
    <mergeCell ref="F148:G148"/>
    <mergeCell ref="I148:J148"/>
    <mergeCell ref="L148:M148"/>
    <mergeCell ref="F149:H149"/>
    <mergeCell ref="I149:K149"/>
    <mergeCell ref="L149:N149"/>
    <mergeCell ref="F146:G146"/>
    <mergeCell ref="I146:J146"/>
    <mergeCell ref="L146:M146"/>
    <mergeCell ref="F147:G147"/>
    <mergeCell ref="I147:J147"/>
    <mergeCell ref="L147:M147"/>
    <mergeCell ref="F152:G152"/>
    <mergeCell ref="I152:J152"/>
    <mergeCell ref="L152:M152"/>
    <mergeCell ref="F153:G153"/>
    <mergeCell ref="I153:J153"/>
    <mergeCell ref="L153:M153"/>
    <mergeCell ref="F150:H150"/>
    <mergeCell ref="I150:K150"/>
    <mergeCell ref="L150:N150"/>
    <mergeCell ref="F151:H151"/>
    <mergeCell ref="I151:K151"/>
    <mergeCell ref="L151:N151"/>
    <mergeCell ref="F156:H156"/>
    <mergeCell ref="I156:K156"/>
    <mergeCell ref="L156:N156"/>
    <mergeCell ref="F157:H157"/>
    <mergeCell ref="I157:K157"/>
    <mergeCell ref="L157:N157"/>
    <mergeCell ref="F154:G154"/>
    <mergeCell ref="I154:J154"/>
    <mergeCell ref="L154:M154"/>
    <mergeCell ref="F155:H155"/>
    <mergeCell ref="I155:K155"/>
    <mergeCell ref="L155:N155"/>
    <mergeCell ref="F160:H160"/>
    <mergeCell ref="I160:K160"/>
    <mergeCell ref="L160:N160"/>
    <mergeCell ref="F161:H161"/>
    <mergeCell ref="I161:K161"/>
    <mergeCell ref="L161:N161"/>
    <mergeCell ref="F158:H158"/>
    <mergeCell ref="I158:K158"/>
    <mergeCell ref="L158:N158"/>
    <mergeCell ref="F159:H159"/>
    <mergeCell ref="I159:K159"/>
    <mergeCell ref="L159:N159"/>
    <mergeCell ref="F164:G164"/>
    <mergeCell ref="I164:J164"/>
    <mergeCell ref="L164:M164"/>
    <mergeCell ref="F165:G165"/>
    <mergeCell ref="I165:J165"/>
    <mergeCell ref="L165:M165"/>
    <mergeCell ref="F162:G162"/>
    <mergeCell ref="I162:J162"/>
    <mergeCell ref="L162:M162"/>
    <mergeCell ref="F163:G163"/>
    <mergeCell ref="I163:J163"/>
    <mergeCell ref="L163:M163"/>
    <mergeCell ref="F168:H168"/>
    <mergeCell ref="I168:K168"/>
    <mergeCell ref="L168:N168"/>
    <mergeCell ref="F169:H169"/>
    <mergeCell ref="I169:K169"/>
    <mergeCell ref="L169:N169"/>
    <mergeCell ref="F166:G166"/>
    <mergeCell ref="I166:J166"/>
    <mergeCell ref="L166:M166"/>
    <mergeCell ref="F167:G167"/>
    <mergeCell ref="I167:J167"/>
    <mergeCell ref="L167:M167"/>
    <mergeCell ref="F172:G172"/>
    <mergeCell ref="I172:J172"/>
    <mergeCell ref="L172:M172"/>
    <mergeCell ref="F173:H173"/>
    <mergeCell ref="I173:K173"/>
    <mergeCell ref="L173:N173"/>
    <mergeCell ref="F170:H170"/>
    <mergeCell ref="I170:K170"/>
    <mergeCell ref="L170:N170"/>
    <mergeCell ref="F171:G171"/>
    <mergeCell ref="I171:J171"/>
    <mergeCell ref="L171:M171"/>
    <mergeCell ref="F176:G176"/>
    <mergeCell ref="I176:J176"/>
    <mergeCell ref="L176:M176"/>
    <mergeCell ref="F177:H177"/>
    <mergeCell ref="I177:K177"/>
    <mergeCell ref="L177:N177"/>
    <mergeCell ref="F174:H174"/>
    <mergeCell ref="I174:K174"/>
    <mergeCell ref="L174:N174"/>
    <mergeCell ref="F175:H175"/>
    <mergeCell ref="I175:K175"/>
    <mergeCell ref="L175:N175"/>
    <mergeCell ref="F180:H180"/>
    <mergeCell ref="I180:K180"/>
    <mergeCell ref="L180:N180"/>
    <mergeCell ref="F181:G181"/>
    <mergeCell ref="I181:J181"/>
    <mergeCell ref="L181:M181"/>
    <mergeCell ref="F178:H178"/>
    <mergeCell ref="I178:K178"/>
    <mergeCell ref="L178:N178"/>
    <mergeCell ref="F179:H179"/>
    <mergeCell ref="I179:K179"/>
    <mergeCell ref="L179:N179"/>
    <mergeCell ref="F184:H184"/>
    <mergeCell ref="I184:K184"/>
    <mergeCell ref="L184:N184"/>
    <mergeCell ref="F185:H185"/>
    <mergeCell ref="I185:K185"/>
    <mergeCell ref="L185:N185"/>
    <mergeCell ref="F182:G182"/>
    <mergeCell ref="I182:J182"/>
    <mergeCell ref="L182:M182"/>
    <mergeCell ref="F183:G183"/>
    <mergeCell ref="I183:J183"/>
    <mergeCell ref="L183:M183"/>
    <mergeCell ref="I191:N191"/>
    <mergeCell ref="I192:N192"/>
    <mergeCell ref="I193:N193"/>
    <mergeCell ref="I194:N194"/>
    <mergeCell ref="C196:N196"/>
    <mergeCell ref="I197:N197"/>
    <mergeCell ref="F186:H186"/>
    <mergeCell ref="I186:K186"/>
    <mergeCell ref="L186:N186"/>
    <mergeCell ref="C188:N188"/>
    <mergeCell ref="I189:N189"/>
    <mergeCell ref="I190:N190"/>
    <mergeCell ref="C205:N205"/>
    <mergeCell ref="I206:N206"/>
    <mergeCell ref="E207:F207"/>
    <mergeCell ref="G207:H207"/>
    <mergeCell ref="I207:K207"/>
    <mergeCell ref="L207:N207"/>
    <mergeCell ref="I198:N198"/>
    <mergeCell ref="I199:N199"/>
    <mergeCell ref="I200:N200"/>
    <mergeCell ref="I201:N201"/>
    <mergeCell ref="I202:N202"/>
    <mergeCell ref="I203:N203"/>
    <mergeCell ref="E210:F210"/>
    <mergeCell ref="G210:H210"/>
    <mergeCell ref="I210:K210"/>
    <mergeCell ref="L210:N210"/>
    <mergeCell ref="E211:F211"/>
    <mergeCell ref="G211:H211"/>
    <mergeCell ref="I211:K211"/>
    <mergeCell ref="L211:N211"/>
    <mergeCell ref="E208:F208"/>
    <mergeCell ref="G208:H208"/>
    <mergeCell ref="I208:K208"/>
    <mergeCell ref="L208:N208"/>
    <mergeCell ref="E209:F209"/>
    <mergeCell ref="G209:H209"/>
    <mergeCell ref="I209:K209"/>
    <mergeCell ref="L209:N209"/>
    <mergeCell ref="I220:N220"/>
    <mergeCell ref="I214:N214"/>
    <mergeCell ref="I215:N215"/>
    <mergeCell ref="I216:N216"/>
    <mergeCell ref="I217:N217"/>
    <mergeCell ref="I218:N218"/>
    <mergeCell ref="I219:N219"/>
    <mergeCell ref="E212:F212"/>
    <mergeCell ref="G212:H212"/>
    <mergeCell ref="I212:K212"/>
    <mergeCell ref="L212:N212"/>
    <mergeCell ref="E213:F213"/>
    <mergeCell ref="I213:N213"/>
  </mergeCells>
  <pageMargins left="0.7" right="0.7" top="0.75" bottom="0.75" header="0.3" footer="0.3"/>
  <pageSetup paperSize="9" orientation="portrait" r:id="rId1"/>
  <ignoredErrors>
    <ignoredError sqref="I163:K180 H35:N36 H34 M34:N34 I160:K162 I139:K159" formula="1"/>
    <ignoredError sqref="I34:L34 L46" formula="1" formulaRange="1"/>
    <ignoredError sqref="I33:L33 I43:N45 I46:K46 M46:N46"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4902B-F816-4326-AB6B-C250AB198AAD}">
  <dimension ref="B1:X121"/>
  <sheetViews>
    <sheetView topLeftCell="C40" zoomScale="120" zoomScaleNormal="120" workbookViewId="0">
      <selection activeCell="L54" sqref="L54:N54"/>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37.42578125" style="1" bestFit="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2"/>
      <c r="C2" s="3"/>
      <c r="D2" s="3"/>
      <c r="E2" s="3"/>
      <c r="F2" s="3"/>
      <c r="G2" s="3"/>
      <c r="H2" s="3"/>
      <c r="I2" s="3"/>
      <c r="J2" s="3"/>
      <c r="K2" s="3"/>
      <c r="L2" s="3"/>
      <c r="M2" s="3"/>
      <c r="N2" s="3"/>
      <c r="O2" s="4"/>
    </row>
    <row r="3" spans="2:17" ht="20.25" customHeight="1">
      <c r="B3" s="5"/>
      <c r="C3" s="345" t="s">
        <v>0</v>
      </c>
      <c r="D3" s="346"/>
      <c r="E3" s="346"/>
      <c r="F3" s="346"/>
      <c r="G3" s="346"/>
      <c r="H3" s="346"/>
      <c r="I3" s="346"/>
      <c r="J3" s="346"/>
      <c r="K3" s="346"/>
      <c r="L3" s="346"/>
      <c r="M3" s="346"/>
      <c r="N3" s="347"/>
      <c r="O3" s="6"/>
    </row>
    <row r="4" spans="2:17" ht="20.25" customHeight="1" thickBot="1">
      <c r="B4" s="5"/>
      <c r="C4" s="348"/>
      <c r="D4" s="349"/>
      <c r="E4" s="349"/>
      <c r="F4" s="349"/>
      <c r="G4" s="349"/>
      <c r="H4" s="349"/>
      <c r="I4" s="349"/>
      <c r="J4" s="349"/>
      <c r="K4" s="349"/>
      <c r="L4" s="349"/>
      <c r="M4" s="349"/>
      <c r="N4" s="350"/>
      <c r="O4" s="6"/>
    </row>
    <row r="5" spans="2:17" ht="15.75" thickBot="1">
      <c r="B5" s="5"/>
      <c r="C5" s="7"/>
      <c r="D5" s="7"/>
      <c r="E5" s="7"/>
      <c r="F5" s="7"/>
      <c r="G5" s="7"/>
      <c r="H5" s="7"/>
      <c r="I5" s="7"/>
      <c r="J5" s="7"/>
      <c r="K5" s="7"/>
      <c r="L5" s="7"/>
      <c r="M5" s="7"/>
      <c r="N5" s="7"/>
      <c r="O5" s="6"/>
    </row>
    <row r="6" spans="2:17" ht="15.75" thickBot="1">
      <c r="B6" s="5"/>
      <c r="C6" s="351" t="s">
        <v>235</v>
      </c>
      <c r="D6" s="352"/>
      <c r="E6" s="352"/>
      <c r="F6" s="352"/>
      <c r="G6" s="352"/>
      <c r="H6" s="352"/>
      <c r="I6" s="352"/>
      <c r="J6" s="352"/>
      <c r="K6" s="352"/>
      <c r="L6" s="352"/>
      <c r="M6" s="352"/>
      <c r="N6" s="353"/>
      <c r="O6" s="6"/>
    </row>
    <row r="7" spans="2:17" ht="15.75" thickBot="1">
      <c r="B7" s="5"/>
      <c r="C7" s="7"/>
      <c r="D7" s="7"/>
      <c r="E7" s="7"/>
      <c r="F7" s="7"/>
      <c r="G7" s="7"/>
      <c r="H7" s="7"/>
      <c r="I7" s="7"/>
      <c r="J7" s="7"/>
      <c r="K7" s="7"/>
      <c r="L7" s="7"/>
      <c r="M7" s="7"/>
      <c r="N7" s="7"/>
      <c r="O7" s="6"/>
    </row>
    <row r="8" spans="2:17">
      <c r="B8" s="5"/>
      <c r="C8" s="8" t="s">
        <v>236</v>
      </c>
      <c r="D8" s="9"/>
      <c r="E8" s="9"/>
      <c r="F8" s="9"/>
      <c r="G8" s="9"/>
      <c r="H8" s="9"/>
      <c r="I8" s="10"/>
      <c r="J8" s="354">
        <f>J9+10</f>
        <v>44783</v>
      </c>
      <c r="K8" s="354"/>
      <c r="L8" s="354"/>
      <c r="M8" s="354"/>
      <c r="N8" s="355"/>
      <c r="O8" s="6"/>
    </row>
    <row r="9" spans="2:17">
      <c r="B9" s="5"/>
      <c r="C9" s="11" t="s">
        <v>237</v>
      </c>
      <c r="D9" s="12"/>
      <c r="E9" s="12"/>
      <c r="F9" s="12"/>
      <c r="G9" s="12"/>
      <c r="H9" s="12"/>
      <c r="I9" s="13"/>
      <c r="J9" s="337">
        <v>44773</v>
      </c>
      <c r="K9" s="337"/>
      <c r="L9" s="337"/>
      <c r="M9" s="337"/>
      <c r="N9" s="338"/>
      <c r="O9" s="6"/>
    </row>
    <row r="10" spans="2:17">
      <c r="B10" s="5"/>
      <c r="C10" s="339" t="s">
        <v>4</v>
      </c>
      <c r="D10" s="340"/>
      <c r="E10" s="356"/>
      <c r="F10" s="15" t="s">
        <v>238</v>
      </c>
      <c r="G10" s="12"/>
      <c r="H10" s="12"/>
      <c r="I10" s="13"/>
      <c r="J10" s="337">
        <v>44681</v>
      </c>
      <c r="K10" s="337"/>
      <c r="L10" s="337"/>
      <c r="M10" s="337"/>
      <c r="N10" s="338"/>
      <c r="O10" s="6"/>
      <c r="Q10" s="148"/>
    </row>
    <row r="11" spans="2:17">
      <c r="B11" s="5"/>
      <c r="C11" s="342"/>
      <c r="D11" s="343"/>
      <c r="E11" s="341"/>
      <c r="F11" s="18" t="s">
        <v>239</v>
      </c>
      <c r="G11" s="12"/>
      <c r="H11" s="12"/>
      <c r="I11" s="13"/>
      <c r="J11" s="337">
        <f>J9</f>
        <v>44773</v>
      </c>
      <c r="K11" s="337"/>
      <c r="L11" s="337"/>
      <c r="M11" s="337"/>
      <c r="N11" s="338"/>
      <c r="O11" s="6"/>
    </row>
    <row r="12" spans="2:17">
      <c r="B12" s="5"/>
      <c r="C12" s="149" t="s">
        <v>240</v>
      </c>
      <c r="D12" s="19"/>
      <c r="E12" s="14"/>
      <c r="F12" s="21"/>
      <c r="G12" s="12"/>
      <c r="H12" s="12"/>
      <c r="I12" s="13"/>
      <c r="J12" s="335">
        <f>J11-J10</f>
        <v>92</v>
      </c>
      <c r="K12" s="335"/>
      <c r="L12" s="335"/>
      <c r="M12" s="335"/>
      <c r="N12" s="336"/>
      <c r="O12" s="6"/>
    </row>
    <row r="13" spans="2:17">
      <c r="B13" s="5"/>
      <c r="C13" s="339" t="s">
        <v>241</v>
      </c>
      <c r="D13" s="340"/>
      <c r="E13" s="356"/>
      <c r="F13" s="15" t="s">
        <v>242</v>
      </c>
      <c r="G13" s="21"/>
      <c r="H13" s="21"/>
      <c r="I13" s="23"/>
      <c r="J13" s="445" t="s">
        <v>243</v>
      </c>
      <c r="K13" s="445"/>
      <c r="L13" s="445"/>
      <c r="M13" s="445"/>
      <c r="N13" s="446"/>
      <c r="O13" s="6"/>
    </row>
    <row r="14" spans="2:17">
      <c r="B14" s="5"/>
      <c r="C14" s="342"/>
      <c r="D14" s="343"/>
      <c r="E14" s="344"/>
      <c r="F14" s="15" t="s">
        <v>244</v>
      </c>
      <c r="G14" s="21"/>
      <c r="H14" s="21"/>
      <c r="I14" s="23"/>
      <c r="J14" s="445" t="s">
        <v>243</v>
      </c>
      <c r="K14" s="445"/>
      <c r="L14" s="445"/>
      <c r="M14" s="445"/>
      <c r="N14" s="446"/>
      <c r="O14" s="6"/>
    </row>
    <row r="15" spans="2:17">
      <c r="B15" s="5"/>
      <c r="C15" s="16" t="s">
        <v>245</v>
      </c>
      <c r="D15" s="17"/>
      <c r="E15" s="17"/>
      <c r="F15" s="21"/>
      <c r="G15" s="21"/>
      <c r="H15" s="21"/>
      <c r="I15" s="23"/>
      <c r="J15" s="337">
        <v>52366</v>
      </c>
      <c r="K15" s="337"/>
      <c r="L15" s="337"/>
      <c r="M15" s="337"/>
      <c r="N15" s="338"/>
      <c r="O15" s="6"/>
    </row>
    <row r="16" spans="2:17">
      <c r="B16" s="5"/>
      <c r="C16" s="16" t="s">
        <v>246</v>
      </c>
      <c r="D16" s="17"/>
      <c r="E16" s="17"/>
      <c r="F16" s="21"/>
      <c r="G16" s="21"/>
      <c r="H16" s="21"/>
      <c r="I16" s="23"/>
      <c r="J16" s="447">
        <v>4.5080000000000002E-2</v>
      </c>
      <c r="K16" s="447"/>
      <c r="L16" s="447"/>
      <c r="M16" s="447"/>
      <c r="N16" s="448"/>
      <c r="O16" s="6"/>
    </row>
    <row r="17" spans="2:24">
      <c r="B17" s="5"/>
      <c r="C17" s="339" t="s">
        <v>247</v>
      </c>
      <c r="D17" s="340"/>
      <c r="E17" s="356"/>
      <c r="F17" s="21" t="s">
        <v>248</v>
      </c>
      <c r="G17" s="21"/>
      <c r="H17" s="21"/>
      <c r="I17" s="23"/>
      <c r="J17" s="449">
        <v>44697</v>
      </c>
      <c r="K17" s="450"/>
      <c r="L17" s="450"/>
      <c r="M17" s="450"/>
      <c r="N17" s="451"/>
      <c r="O17" s="6"/>
    </row>
    <row r="18" spans="2:24">
      <c r="B18" s="5"/>
      <c r="C18" s="342"/>
      <c r="D18" s="343"/>
      <c r="E18" s="344"/>
      <c r="F18" s="21" t="s">
        <v>249</v>
      </c>
      <c r="G18" s="21"/>
      <c r="H18" s="21"/>
      <c r="I18" s="23"/>
      <c r="J18" s="449">
        <v>44788</v>
      </c>
      <c r="K18" s="450"/>
      <c r="L18" s="450"/>
      <c r="M18" s="450"/>
      <c r="N18" s="451"/>
      <c r="O18" s="6"/>
    </row>
    <row r="19" spans="2:24">
      <c r="B19" s="5"/>
      <c r="C19" s="22" t="s">
        <v>250</v>
      </c>
      <c r="D19" s="21"/>
      <c r="E19" s="21"/>
      <c r="F19" s="21"/>
      <c r="G19" s="21"/>
      <c r="H19" s="21"/>
      <c r="I19" s="23"/>
      <c r="J19" s="443" t="s">
        <v>17</v>
      </c>
      <c r="K19" s="443"/>
      <c r="L19" s="443"/>
      <c r="M19" s="443"/>
      <c r="N19" s="444"/>
      <c r="O19" s="6"/>
    </row>
    <row r="20" spans="2:24" ht="15.75" thickBot="1">
      <c r="B20" s="5"/>
      <c r="C20" s="59" t="s">
        <v>251</v>
      </c>
      <c r="D20" s="150"/>
      <c r="E20" s="150"/>
      <c r="F20" s="150"/>
      <c r="G20" s="150"/>
      <c r="H20" s="150"/>
      <c r="I20" s="150"/>
      <c r="J20" s="330" t="s">
        <v>252</v>
      </c>
      <c r="K20" s="330"/>
      <c r="L20" s="330"/>
      <c r="M20" s="330"/>
      <c r="N20" s="331"/>
      <c r="O20" s="6"/>
    </row>
    <row r="21" spans="2:24" ht="15.75" thickBot="1">
      <c r="B21" s="5"/>
      <c r="C21" s="5"/>
      <c r="D21" s="7"/>
      <c r="E21" s="7"/>
      <c r="F21" s="7"/>
      <c r="G21" s="7"/>
      <c r="H21" s="7"/>
      <c r="I21" s="7"/>
      <c r="J21" s="7"/>
      <c r="K21" s="7"/>
      <c r="L21" s="7"/>
      <c r="M21" s="7"/>
      <c r="N21" s="6"/>
      <c r="O21" s="6"/>
    </row>
    <row r="22" spans="2:24">
      <c r="B22" s="5"/>
      <c r="C22" s="258" t="s">
        <v>253</v>
      </c>
      <c r="D22" s="259"/>
      <c r="E22" s="259"/>
      <c r="F22" s="259"/>
      <c r="G22" s="259"/>
      <c r="H22" s="259"/>
      <c r="I22" s="259"/>
      <c r="J22" s="259"/>
      <c r="K22" s="259"/>
      <c r="L22" s="259"/>
      <c r="M22" s="259"/>
      <c r="N22" s="260"/>
      <c r="O22" s="6"/>
    </row>
    <row r="23" spans="2:24">
      <c r="B23" s="5"/>
      <c r="C23" s="317" t="s">
        <v>254</v>
      </c>
      <c r="D23" s="318"/>
      <c r="E23" s="318"/>
      <c r="F23" s="318"/>
      <c r="G23" s="318"/>
      <c r="H23" s="318"/>
      <c r="I23" s="318"/>
      <c r="J23" s="318"/>
      <c r="K23" s="318"/>
      <c r="L23" s="318"/>
      <c r="M23" s="318"/>
      <c r="N23" s="319"/>
      <c r="O23" s="6"/>
    </row>
    <row r="24" spans="2:24">
      <c r="B24" s="5"/>
      <c r="C24" s="79" t="s">
        <v>255</v>
      </c>
      <c r="D24" s="151"/>
      <c r="E24" s="151"/>
      <c r="F24" s="151"/>
      <c r="G24" s="151"/>
      <c r="H24" s="151"/>
      <c r="I24" s="152"/>
      <c r="J24" s="441">
        <v>1092250006.3410008</v>
      </c>
      <c r="K24" s="441"/>
      <c r="L24" s="441"/>
      <c r="M24" s="441"/>
      <c r="N24" s="442"/>
      <c r="O24" s="6"/>
    </row>
    <row r="25" spans="2:24">
      <c r="B25" s="5"/>
      <c r="C25" s="317" t="s">
        <v>256</v>
      </c>
      <c r="D25" s="318"/>
      <c r="E25" s="318"/>
      <c r="F25" s="318"/>
      <c r="G25" s="318"/>
      <c r="H25" s="318"/>
      <c r="I25" s="318"/>
      <c r="J25" s="318"/>
      <c r="K25" s="318"/>
      <c r="L25" s="318"/>
      <c r="M25" s="318"/>
      <c r="N25" s="319"/>
      <c r="O25" s="6"/>
    </row>
    <row r="26" spans="2:24">
      <c r="B26" s="5"/>
      <c r="C26" s="85" t="s">
        <v>257</v>
      </c>
      <c r="D26" s="153"/>
      <c r="E26" s="153"/>
      <c r="F26" s="153"/>
      <c r="G26" s="153"/>
      <c r="H26" s="153"/>
      <c r="I26" s="153"/>
      <c r="J26" s="325">
        <f>SUM(J27:M28)</f>
        <v>68499475.770000011</v>
      </c>
      <c r="K26" s="326"/>
      <c r="L26" s="326"/>
      <c r="M26" s="326"/>
      <c r="N26" s="327"/>
      <c r="O26" s="6"/>
    </row>
    <row r="27" spans="2:24">
      <c r="B27" s="5"/>
      <c r="C27" s="154" t="s">
        <v>258</v>
      </c>
      <c r="D27" s="153"/>
      <c r="E27" s="153"/>
      <c r="F27" s="153"/>
      <c r="G27" s="153"/>
      <c r="H27" s="153"/>
      <c r="I27" s="153"/>
      <c r="J27" s="431">
        <v>0</v>
      </c>
      <c r="K27" s="432"/>
      <c r="L27" s="432"/>
      <c r="M27" s="432"/>
      <c r="N27" s="155"/>
      <c r="O27" s="6"/>
      <c r="R27" s="90">
        <v>0</v>
      </c>
      <c r="S27" s="26">
        <f>J27-R27</f>
        <v>0</v>
      </c>
    </row>
    <row r="28" spans="2:24">
      <c r="B28" s="5"/>
      <c r="C28" s="154" t="s">
        <v>259</v>
      </c>
      <c r="D28" s="153"/>
      <c r="E28" s="153"/>
      <c r="F28" s="153"/>
      <c r="G28" s="153"/>
      <c r="H28" s="153"/>
      <c r="I28" s="153"/>
      <c r="J28" s="431">
        <v>68499475.770000011</v>
      </c>
      <c r="K28" s="432"/>
      <c r="L28" s="432"/>
      <c r="M28" s="432"/>
      <c r="N28" s="156"/>
      <c r="O28" s="6"/>
      <c r="Q28" s="90"/>
      <c r="R28" s="90"/>
      <c r="S28" s="26"/>
    </row>
    <row r="29" spans="2:24">
      <c r="B29" s="5"/>
      <c r="C29" s="85" t="s">
        <v>260</v>
      </c>
      <c r="D29" s="153"/>
      <c r="E29" s="153"/>
      <c r="F29" s="153"/>
      <c r="G29" s="153"/>
      <c r="H29" s="153"/>
      <c r="I29" s="153"/>
      <c r="J29" s="325">
        <f>SUM(J30:M31)</f>
        <v>2284320.9265000001</v>
      </c>
      <c r="K29" s="326"/>
      <c r="L29" s="326"/>
      <c r="M29" s="326"/>
      <c r="N29" s="327"/>
      <c r="O29" s="6"/>
    </row>
    <row r="30" spans="2:24">
      <c r="B30" s="5"/>
      <c r="C30" s="154" t="s">
        <v>261</v>
      </c>
      <c r="D30" s="153"/>
      <c r="E30" s="153"/>
      <c r="F30" s="153"/>
      <c r="G30" s="153"/>
      <c r="H30" s="153"/>
      <c r="I30" s="153"/>
      <c r="J30" s="431">
        <v>2227555.8199999998</v>
      </c>
      <c r="K30" s="432"/>
      <c r="L30" s="432"/>
      <c r="M30" s="432"/>
      <c r="N30" s="155"/>
      <c r="O30" s="6"/>
      <c r="T30" s="147"/>
      <c r="V30" s="68"/>
      <c r="W30" s="68"/>
      <c r="X30" s="68"/>
    </row>
    <row r="31" spans="2:24">
      <c r="B31" s="5"/>
      <c r="C31" s="154" t="s">
        <v>262</v>
      </c>
      <c r="D31" s="153"/>
      <c r="E31" s="153"/>
      <c r="F31" s="153"/>
      <c r="G31" s="153"/>
      <c r="H31" s="153"/>
      <c r="I31" s="153"/>
      <c r="J31" s="424">
        <v>56765.106500000002</v>
      </c>
      <c r="K31" s="425"/>
      <c r="L31" s="425"/>
      <c r="M31" s="425"/>
      <c r="N31" s="156"/>
      <c r="O31" s="6"/>
      <c r="T31" s="147"/>
    </row>
    <row r="32" spans="2:24">
      <c r="B32" s="5"/>
      <c r="C32" s="317" t="s">
        <v>263</v>
      </c>
      <c r="D32" s="318"/>
      <c r="E32" s="318"/>
      <c r="F32" s="318"/>
      <c r="G32" s="318"/>
      <c r="H32" s="318"/>
      <c r="I32" s="318"/>
      <c r="J32" s="318"/>
      <c r="K32" s="318"/>
      <c r="L32" s="318"/>
      <c r="M32" s="318"/>
      <c r="N32" s="319"/>
      <c r="O32" s="6"/>
      <c r="T32" s="147"/>
    </row>
    <row r="33" spans="2:22">
      <c r="B33" s="5"/>
      <c r="C33" s="79" t="s">
        <v>264</v>
      </c>
      <c r="D33" s="151"/>
      <c r="E33" s="151"/>
      <c r="F33" s="151"/>
      <c r="G33" s="151"/>
      <c r="H33" s="151"/>
      <c r="I33" s="152"/>
      <c r="J33" s="326">
        <f>SUM(J34:M36)</f>
        <v>41172889.000000015</v>
      </c>
      <c r="K33" s="326"/>
      <c r="L33" s="326"/>
      <c r="M33" s="326"/>
      <c r="N33" s="327"/>
      <c r="O33" s="6"/>
    </row>
    <row r="34" spans="2:22">
      <c r="B34" s="5"/>
      <c r="C34" s="52" t="s">
        <v>265</v>
      </c>
      <c r="D34" s="153"/>
      <c r="E34" s="153"/>
      <c r="F34" s="153"/>
      <c r="G34" s="153"/>
      <c r="H34" s="153"/>
      <c r="I34" s="157"/>
      <c r="J34" s="432">
        <v>11089616.870000007</v>
      </c>
      <c r="K34" s="432"/>
      <c r="L34" s="432"/>
      <c r="M34" s="432"/>
      <c r="N34" s="158"/>
      <c r="O34" s="6"/>
    </row>
    <row r="35" spans="2:22">
      <c r="B35" s="5"/>
      <c r="C35" s="52" t="s">
        <v>266</v>
      </c>
      <c r="D35" s="153"/>
      <c r="E35" s="153"/>
      <c r="F35" s="153"/>
      <c r="G35" s="153"/>
      <c r="H35" s="153"/>
      <c r="I35" s="157"/>
      <c r="J35" s="432">
        <v>30083272.13000001</v>
      </c>
      <c r="K35" s="432"/>
      <c r="L35" s="432"/>
      <c r="M35" s="432"/>
      <c r="N35" s="158"/>
      <c r="O35" s="6"/>
      <c r="Q35" s="90"/>
      <c r="R35" s="90"/>
      <c r="S35" s="90"/>
      <c r="T35" s="147"/>
      <c r="V35" s="90"/>
    </row>
    <row r="36" spans="2:22">
      <c r="B36" s="5"/>
      <c r="C36" s="72" t="s">
        <v>267</v>
      </c>
      <c r="D36" s="159"/>
      <c r="E36" s="159"/>
      <c r="F36" s="159"/>
      <c r="G36" s="159"/>
      <c r="H36" s="159"/>
      <c r="I36" s="160"/>
      <c r="J36" s="432">
        <v>0</v>
      </c>
      <c r="K36" s="432"/>
      <c r="L36" s="432"/>
      <c r="M36" s="432"/>
      <c r="N36" s="158"/>
      <c r="O36" s="6"/>
      <c r="Q36" s="90"/>
      <c r="R36" s="90"/>
      <c r="S36" s="90"/>
      <c r="T36" s="90"/>
    </row>
    <row r="37" spans="2:22">
      <c r="B37" s="5"/>
      <c r="C37" s="317" t="s">
        <v>268</v>
      </c>
      <c r="D37" s="318"/>
      <c r="E37" s="318"/>
      <c r="F37" s="318"/>
      <c r="G37" s="318"/>
      <c r="H37" s="318"/>
      <c r="I37" s="318"/>
      <c r="J37" s="318"/>
      <c r="K37" s="318"/>
      <c r="L37" s="318"/>
      <c r="M37" s="318"/>
      <c r="N37" s="319"/>
      <c r="O37" s="6"/>
    </row>
    <row r="38" spans="2:22">
      <c r="B38" s="5"/>
      <c r="C38" s="79" t="s">
        <v>269</v>
      </c>
      <c r="D38" s="151"/>
      <c r="E38" s="151"/>
      <c r="F38" s="151"/>
      <c r="G38" s="151"/>
      <c r="H38" s="151"/>
      <c r="I38" s="152"/>
      <c r="J38" s="326">
        <f>SUM(J39:M41)</f>
        <v>40395028.000000015</v>
      </c>
      <c r="K38" s="326"/>
      <c r="L38" s="326"/>
      <c r="M38" s="326"/>
      <c r="N38" s="327"/>
      <c r="O38" s="6"/>
      <c r="Q38" s="90"/>
      <c r="R38" s="90"/>
      <c r="S38" s="90"/>
      <c r="T38" s="147"/>
      <c r="V38" s="90"/>
    </row>
    <row r="39" spans="2:22">
      <c r="B39" s="5"/>
      <c r="C39" s="52" t="s">
        <v>270</v>
      </c>
      <c r="D39" s="153"/>
      <c r="E39" s="153"/>
      <c r="F39" s="153"/>
      <c r="G39" s="153"/>
      <c r="H39" s="153"/>
      <c r="I39" s="157"/>
      <c r="J39" s="432">
        <v>10879998.880000006</v>
      </c>
      <c r="K39" s="432"/>
      <c r="L39" s="432"/>
      <c r="M39" s="432"/>
      <c r="N39" s="155"/>
      <c r="O39" s="6"/>
    </row>
    <row r="40" spans="2:22">
      <c r="B40" s="5"/>
      <c r="C40" s="52" t="s">
        <v>271</v>
      </c>
      <c r="D40" s="153"/>
      <c r="E40" s="153"/>
      <c r="F40" s="153"/>
      <c r="G40" s="153"/>
      <c r="H40" s="153"/>
      <c r="I40" s="157"/>
      <c r="J40" s="432">
        <v>29515029.120000008</v>
      </c>
      <c r="K40" s="432"/>
      <c r="L40" s="432"/>
      <c r="M40" s="432"/>
      <c r="N40" s="155"/>
      <c r="O40" s="6"/>
      <c r="Q40" s="90"/>
      <c r="R40" s="90"/>
      <c r="S40" s="90"/>
      <c r="T40" s="147"/>
      <c r="V40" s="90"/>
    </row>
    <row r="41" spans="2:22">
      <c r="B41" s="5"/>
      <c r="C41" s="72" t="s">
        <v>272</v>
      </c>
      <c r="D41" s="159"/>
      <c r="E41" s="159"/>
      <c r="F41" s="159"/>
      <c r="G41" s="159"/>
      <c r="H41" s="159"/>
      <c r="I41" s="160"/>
      <c r="J41" s="432">
        <v>0</v>
      </c>
      <c r="K41" s="432"/>
      <c r="L41" s="432"/>
      <c r="M41" s="432"/>
      <c r="N41" s="155"/>
      <c r="O41" s="6"/>
    </row>
    <row r="42" spans="2:22">
      <c r="B42" s="5"/>
      <c r="C42" s="85" t="s">
        <v>273</v>
      </c>
      <c r="D42" s="153"/>
      <c r="E42" s="153"/>
      <c r="F42" s="153"/>
      <c r="G42" s="153"/>
      <c r="H42" s="153"/>
      <c r="I42" s="157"/>
      <c r="J42" s="322">
        <v>746355.69</v>
      </c>
      <c r="K42" s="323"/>
      <c r="L42" s="323"/>
      <c r="M42" s="323"/>
      <c r="N42" s="324"/>
      <c r="O42" s="6"/>
      <c r="P42" s="161"/>
      <c r="Q42" s="90"/>
      <c r="R42" s="80"/>
      <c r="S42" s="80"/>
      <c r="T42" s="80"/>
      <c r="V42" s="90"/>
    </row>
    <row r="43" spans="2:22">
      <c r="B43" s="5"/>
      <c r="C43" s="100" t="s">
        <v>274</v>
      </c>
      <c r="D43" s="162"/>
      <c r="E43" s="162"/>
      <c r="F43" s="162"/>
      <c r="G43" s="162"/>
      <c r="H43" s="162"/>
      <c r="I43" s="163"/>
      <c r="J43" s="322">
        <v>0</v>
      </c>
      <c r="K43" s="323"/>
      <c r="L43" s="323"/>
      <c r="M43" s="323"/>
      <c r="N43" s="324"/>
      <c r="O43" s="6"/>
    </row>
    <row r="44" spans="2:22">
      <c r="B44" s="5"/>
      <c r="C44" s="100" t="s">
        <v>275</v>
      </c>
      <c r="D44" s="162"/>
      <c r="E44" s="162"/>
      <c r="F44" s="162"/>
      <c r="G44" s="162"/>
      <c r="H44" s="162"/>
      <c r="I44" s="163"/>
      <c r="J44" s="322">
        <v>0</v>
      </c>
      <c r="K44" s="323"/>
      <c r="L44" s="323"/>
      <c r="M44" s="323"/>
      <c r="N44" s="324"/>
      <c r="O44" s="6"/>
    </row>
    <row r="45" spans="2:22" ht="13.9" customHeight="1">
      <c r="B45" s="5"/>
      <c r="C45" s="79" t="s">
        <v>276</v>
      </c>
      <c r="D45" s="151"/>
      <c r="E45" s="151"/>
      <c r="F45" s="151"/>
      <c r="G45" s="151"/>
      <c r="H45" s="151"/>
      <c r="I45" s="151"/>
      <c r="J45" s="325">
        <f>SUM(J46:M47)</f>
        <v>65768592.179999992</v>
      </c>
      <c r="K45" s="326"/>
      <c r="L45" s="326"/>
      <c r="M45" s="326"/>
      <c r="N45" s="327"/>
      <c r="O45" s="6"/>
      <c r="R45" s="26"/>
      <c r="S45" s="90"/>
      <c r="T45" s="90"/>
      <c r="U45" s="147"/>
    </row>
    <row r="46" spans="2:22">
      <c r="B46" s="5"/>
      <c r="C46" s="154" t="s">
        <v>277</v>
      </c>
      <c r="D46" s="153"/>
      <c r="E46" s="153"/>
      <c r="F46" s="153"/>
      <c r="G46" s="153"/>
      <c r="H46" s="153"/>
      <c r="I46" s="153"/>
      <c r="J46" s="439">
        <v>0</v>
      </c>
      <c r="K46" s="440"/>
      <c r="L46" s="440"/>
      <c r="M46" s="440"/>
      <c r="N46" s="164"/>
      <c r="O46" s="6"/>
      <c r="R46" s="26"/>
    </row>
    <row r="47" spans="2:22">
      <c r="B47" s="5"/>
      <c r="C47" s="165" t="s">
        <v>278</v>
      </c>
      <c r="D47" s="159"/>
      <c r="E47" s="159"/>
      <c r="F47" s="159"/>
      <c r="G47" s="159"/>
      <c r="H47" s="159"/>
      <c r="I47" s="159"/>
      <c r="J47" s="424">
        <v>65768592.179999992</v>
      </c>
      <c r="K47" s="425"/>
      <c r="L47" s="425"/>
      <c r="M47" s="425"/>
      <c r="N47" s="166"/>
      <c r="O47" s="6"/>
      <c r="R47" s="26"/>
      <c r="S47" s="68"/>
      <c r="T47" s="68"/>
    </row>
    <row r="48" spans="2:22">
      <c r="B48" s="5"/>
      <c r="C48" s="434" t="s">
        <v>279</v>
      </c>
      <c r="D48" s="435"/>
      <c r="E48" s="435"/>
      <c r="F48" s="435"/>
      <c r="G48" s="435"/>
      <c r="H48" s="435"/>
      <c r="I48" s="435"/>
      <c r="J48" s="435"/>
      <c r="K48" s="435"/>
      <c r="L48" s="435"/>
      <c r="M48" s="435"/>
      <c r="N48" s="436"/>
      <c r="O48" s="6"/>
    </row>
    <row r="49" spans="2:22" ht="15.75" thickBot="1">
      <c r="B49" s="5"/>
      <c r="C49" s="129" t="s">
        <v>280</v>
      </c>
      <c r="D49" s="167"/>
      <c r="E49" s="167"/>
      <c r="F49" s="167"/>
      <c r="G49" s="167"/>
      <c r="H49" s="167"/>
      <c r="I49" s="168"/>
      <c r="J49" s="437">
        <v>1087183843.9325001</v>
      </c>
      <c r="K49" s="437"/>
      <c r="L49" s="437"/>
      <c r="M49" s="437"/>
      <c r="N49" s="438"/>
      <c r="O49" s="6"/>
      <c r="Q49" s="26"/>
      <c r="R49" s="26"/>
      <c r="S49" s="26"/>
    </row>
    <row r="50" spans="2:22" ht="15.75" thickBot="1">
      <c r="B50" s="5"/>
      <c r="C50" s="169"/>
      <c r="D50" s="169"/>
      <c r="E50" s="169"/>
      <c r="F50" s="169"/>
      <c r="G50" s="169"/>
      <c r="H50" s="169"/>
      <c r="I50" s="169"/>
      <c r="J50" s="169"/>
      <c r="K50" s="169"/>
      <c r="L50" s="169"/>
      <c r="M50" s="169"/>
      <c r="N50" s="169"/>
      <c r="O50" s="6"/>
    </row>
    <row r="51" spans="2:22">
      <c r="B51" s="5"/>
      <c r="C51" s="258" t="s">
        <v>281</v>
      </c>
      <c r="D51" s="259"/>
      <c r="E51" s="259"/>
      <c r="F51" s="259"/>
      <c r="G51" s="259"/>
      <c r="H51" s="259"/>
      <c r="I51" s="259"/>
      <c r="J51" s="259"/>
      <c r="K51" s="259"/>
      <c r="L51" s="259"/>
      <c r="M51" s="259"/>
      <c r="N51" s="260"/>
      <c r="O51" s="6"/>
      <c r="R51" s="26"/>
      <c r="S51" s="68"/>
      <c r="V51" s="68"/>
    </row>
    <row r="52" spans="2:22">
      <c r="B52" s="5"/>
      <c r="C52" s="170"/>
      <c r="D52" s="127"/>
      <c r="E52" s="127"/>
      <c r="F52" s="127"/>
      <c r="G52" s="127"/>
      <c r="H52" s="127"/>
      <c r="I52" s="235" t="s">
        <v>282</v>
      </c>
      <c r="J52" s="204"/>
      <c r="K52" s="236"/>
      <c r="L52" s="235" t="s">
        <v>283</v>
      </c>
      <c r="M52" s="204"/>
      <c r="N52" s="430"/>
      <c r="O52" s="6"/>
    </row>
    <row r="53" spans="2:22">
      <c r="B53" s="5"/>
      <c r="C53" s="100" t="s">
        <v>284</v>
      </c>
      <c r="D53" s="136"/>
      <c r="E53" s="136"/>
      <c r="F53" s="136"/>
      <c r="G53" s="136"/>
      <c r="H53" s="136"/>
      <c r="I53" s="325">
        <f>I63-I54-I58</f>
        <v>1066530495.4235008</v>
      </c>
      <c r="J53" s="326"/>
      <c r="K53" s="327"/>
      <c r="L53" s="325">
        <f>L63-L54-L58</f>
        <v>1044686855.3300002</v>
      </c>
      <c r="M53" s="326"/>
      <c r="N53" s="327"/>
      <c r="O53" s="6"/>
    </row>
    <row r="54" spans="2:22">
      <c r="B54" s="5"/>
      <c r="C54" s="79" t="s">
        <v>285</v>
      </c>
      <c r="D54" s="171"/>
      <c r="E54" s="171"/>
      <c r="F54" s="171"/>
      <c r="G54" s="171"/>
      <c r="H54" s="171"/>
      <c r="I54" s="325">
        <f>SUM(I55:J57)</f>
        <v>25719510.9175</v>
      </c>
      <c r="J54" s="326"/>
      <c r="K54" s="433"/>
      <c r="L54" s="325">
        <f>SUM(L55:M57)</f>
        <v>42496988.602499999</v>
      </c>
      <c r="M54" s="326"/>
      <c r="N54" s="327"/>
      <c r="O54" s="6"/>
    </row>
    <row r="55" spans="2:22">
      <c r="B55" s="5"/>
      <c r="C55" s="52" t="s">
        <v>286</v>
      </c>
      <c r="D55" s="172"/>
      <c r="E55" s="172"/>
      <c r="F55" s="172"/>
      <c r="G55" s="172"/>
      <c r="H55" s="172"/>
      <c r="I55" s="431">
        <v>4023111.4369999999</v>
      </c>
      <c r="J55" s="432"/>
      <c r="K55" s="173"/>
      <c r="L55" s="431">
        <v>39806679.090999998</v>
      </c>
      <c r="M55" s="432"/>
      <c r="N55" s="155"/>
      <c r="O55" s="6"/>
    </row>
    <row r="56" spans="2:22">
      <c r="B56" s="5"/>
      <c r="C56" s="174" t="s">
        <v>287</v>
      </c>
      <c r="D56" s="172"/>
      <c r="E56" s="172"/>
      <c r="F56" s="172"/>
      <c r="G56" s="172"/>
      <c r="H56" s="172"/>
      <c r="I56" s="431">
        <v>18726353.155000001</v>
      </c>
      <c r="J56" s="432"/>
      <c r="K56" s="173"/>
      <c r="L56" s="431">
        <v>2690309.5115</v>
      </c>
      <c r="M56" s="432"/>
      <c r="N56" s="155"/>
      <c r="O56" s="6"/>
    </row>
    <row r="57" spans="2:22">
      <c r="B57" s="5"/>
      <c r="C57" s="175" t="s">
        <v>288</v>
      </c>
      <c r="D57" s="176"/>
      <c r="E57" s="176"/>
      <c r="F57" s="176"/>
      <c r="G57" s="176"/>
      <c r="H57" s="176"/>
      <c r="I57" s="424">
        <v>2970046.3254999998</v>
      </c>
      <c r="J57" s="425"/>
      <c r="K57" s="177"/>
      <c r="L57" s="424">
        <v>0</v>
      </c>
      <c r="M57" s="425"/>
      <c r="N57" s="156"/>
      <c r="O57" s="6"/>
    </row>
    <row r="58" spans="2:22">
      <c r="B58" s="5"/>
      <c r="C58" s="178" t="s">
        <v>289</v>
      </c>
      <c r="D58" s="171"/>
      <c r="E58" s="171"/>
      <c r="F58" s="171"/>
      <c r="G58" s="171"/>
      <c r="H58" s="171"/>
      <c r="I58" s="325">
        <f>SUM(I59:J62)</f>
        <v>0</v>
      </c>
      <c r="J58" s="326"/>
      <c r="K58" s="433"/>
      <c r="L58" s="325">
        <f>SUM(L59:M62)</f>
        <v>0</v>
      </c>
      <c r="M58" s="326"/>
      <c r="N58" s="327"/>
      <c r="O58" s="6"/>
    </row>
    <row r="59" spans="2:22">
      <c r="B59" s="5"/>
      <c r="C59" s="174" t="s">
        <v>290</v>
      </c>
      <c r="D59" s="172"/>
      <c r="E59" s="172"/>
      <c r="F59" s="172"/>
      <c r="G59" s="172"/>
      <c r="H59" s="172"/>
      <c r="I59" s="431">
        <v>0</v>
      </c>
      <c r="J59" s="432"/>
      <c r="K59" s="173"/>
      <c r="L59" s="431">
        <v>0</v>
      </c>
      <c r="M59" s="432"/>
      <c r="N59" s="155"/>
      <c r="O59" s="6"/>
    </row>
    <row r="60" spans="2:22">
      <c r="B60" s="5"/>
      <c r="C60" s="174" t="s">
        <v>291</v>
      </c>
      <c r="D60" s="172"/>
      <c r="E60" s="172"/>
      <c r="F60" s="172"/>
      <c r="G60" s="172"/>
      <c r="H60" s="172"/>
      <c r="I60" s="431">
        <v>0</v>
      </c>
      <c r="J60" s="432"/>
      <c r="K60" s="173"/>
      <c r="L60" s="431">
        <v>0</v>
      </c>
      <c r="M60" s="432"/>
      <c r="N60" s="155"/>
      <c r="O60" s="6"/>
    </row>
    <row r="61" spans="2:22">
      <c r="B61" s="5"/>
      <c r="C61" s="174" t="s">
        <v>292</v>
      </c>
      <c r="D61" s="172"/>
      <c r="E61" s="172"/>
      <c r="F61" s="172"/>
      <c r="G61" s="172"/>
      <c r="H61" s="172"/>
      <c r="I61" s="431">
        <v>0</v>
      </c>
      <c r="J61" s="432"/>
      <c r="K61" s="173"/>
      <c r="L61" s="431">
        <v>0</v>
      </c>
      <c r="M61" s="432"/>
      <c r="N61" s="155"/>
      <c r="O61" s="6"/>
    </row>
    <row r="62" spans="2:22">
      <c r="B62" s="5"/>
      <c r="C62" s="175" t="s">
        <v>293</v>
      </c>
      <c r="D62" s="176"/>
      <c r="E62" s="176"/>
      <c r="F62" s="176"/>
      <c r="G62" s="176"/>
      <c r="H62" s="176"/>
      <c r="I62" s="424">
        <v>0</v>
      </c>
      <c r="J62" s="425"/>
      <c r="K62" s="177"/>
      <c r="L62" s="424">
        <v>0</v>
      </c>
      <c r="M62" s="425"/>
      <c r="N62" s="156"/>
      <c r="O62" s="6"/>
    </row>
    <row r="63" spans="2:22" ht="15.75" thickBot="1">
      <c r="B63" s="5"/>
      <c r="C63" s="101" t="s">
        <v>294</v>
      </c>
      <c r="D63" s="179"/>
      <c r="E63" s="179"/>
      <c r="F63" s="179"/>
      <c r="G63" s="179"/>
      <c r="H63" s="179"/>
      <c r="I63" s="426">
        <v>1092250006.3410008</v>
      </c>
      <c r="J63" s="427"/>
      <c r="K63" s="428"/>
      <c r="L63" s="426">
        <f>J49</f>
        <v>1087183843.9325001</v>
      </c>
      <c r="M63" s="427"/>
      <c r="N63" s="429"/>
      <c r="O63" s="6"/>
    </row>
    <row r="64" spans="2:22" ht="15.75" thickBot="1">
      <c r="B64" s="5"/>
      <c r="C64" s="169"/>
      <c r="D64" s="169"/>
      <c r="E64" s="169"/>
      <c r="F64" s="169"/>
      <c r="G64" s="169"/>
      <c r="H64" s="169"/>
      <c r="I64" s="169"/>
      <c r="J64" s="169"/>
      <c r="K64" s="169"/>
      <c r="L64" s="169"/>
      <c r="M64" s="169"/>
      <c r="N64" s="169"/>
      <c r="O64" s="6"/>
    </row>
    <row r="65" spans="2:15">
      <c r="B65" s="5"/>
      <c r="C65" s="258" t="s">
        <v>295</v>
      </c>
      <c r="D65" s="259"/>
      <c r="E65" s="259"/>
      <c r="F65" s="259"/>
      <c r="G65" s="259"/>
      <c r="H65" s="259"/>
      <c r="I65" s="259"/>
      <c r="J65" s="259"/>
      <c r="K65" s="259"/>
      <c r="L65" s="259"/>
      <c r="M65" s="259"/>
      <c r="N65" s="260"/>
      <c r="O65" s="6"/>
    </row>
    <row r="66" spans="2:15">
      <c r="B66" s="5"/>
      <c r="C66" s="180"/>
      <c r="D66" s="162"/>
      <c r="E66" s="162"/>
      <c r="F66" s="235" t="s">
        <v>127</v>
      </c>
      <c r="G66" s="204"/>
      <c r="H66" s="236"/>
      <c r="I66" s="235" t="s">
        <v>296</v>
      </c>
      <c r="J66" s="204"/>
      <c r="K66" s="236"/>
      <c r="L66" s="235" t="s">
        <v>297</v>
      </c>
      <c r="M66" s="204"/>
      <c r="N66" s="430"/>
      <c r="O66" s="6"/>
    </row>
    <row r="67" spans="2:15">
      <c r="B67" s="5"/>
      <c r="C67" s="100" t="s">
        <v>298</v>
      </c>
      <c r="D67" s="162"/>
      <c r="E67" s="163"/>
      <c r="F67" s="421" t="s">
        <v>299</v>
      </c>
      <c r="G67" s="407"/>
      <c r="H67" s="408"/>
      <c r="I67" s="402">
        <v>0.61264644620206743</v>
      </c>
      <c r="J67" s="403"/>
      <c r="K67" s="404"/>
      <c r="L67" s="418">
        <v>0.61057195854131285</v>
      </c>
      <c r="M67" s="422"/>
      <c r="N67" s="423"/>
      <c r="O67" s="6"/>
    </row>
    <row r="68" spans="2:15">
      <c r="B68" s="5"/>
      <c r="C68" s="100" t="s">
        <v>300</v>
      </c>
      <c r="D68" s="162"/>
      <c r="E68" s="163"/>
      <c r="F68" s="406" t="s">
        <v>301</v>
      </c>
      <c r="G68" s="407"/>
      <c r="H68" s="408"/>
      <c r="I68" s="402">
        <v>0.17619315257153526</v>
      </c>
      <c r="J68" s="403"/>
      <c r="K68" s="404"/>
      <c r="L68" s="418">
        <v>0.20153045241684359</v>
      </c>
      <c r="M68" s="419"/>
      <c r="N68" s="420"/>
      <c r="O68" s="6"/>
    </row>
    <row r="69" spans="2:15">
      <c r="B69" s="5"/>
      <c r="C69" s="100" t="s">
        <v>302</v>
      </c>
      <c r="D69" s="162"/>
      <c r="E69" s="163"/>
      <c r="F69" s="406" t="s">
        <v>303</v>
      </c>
      <c r="G69" s="407"/>
      <c r="H69" s="408"/>
      <c r="I69" s="409">
        <v>35.717750598372838</v>
      </c>
      <c r="J69" s="410"/>
      <c r="K69" s="411"/>
      <c r="L69" s="409">
        <v>35.356809171970255</v>
      </c>
      <c r="M69" s="410"/>
      <c r="N69" s="411"/>
      <c r="O69" s="6"/>
    </row>
    <row r="70" spans="2:15">
      <c r="B70" s="5"/>
      <c r="C70" s="85" t="s">
        <v>304</v>
      </c>
      <c r="D70" s="172"/>
      <c r="E70" s="172"/>
      <c r="F70" s="412" t="s">
        <v>305</v>
      </c>
      <c r="G70" s="413"/>
      <c r="H70" s="414"/>
      <c r="I70" s="415">
        <v>3.2592636636161298E-2</v>
      </c>
      <c r="J70" s="416"/>
      <c r="K70" s="417"/>
      <c r="L70" s="418">
        <v>3.2443021005726255E-2</v>
      </c>
      <c r="M70" s="419"/>
      <c r="N70" s="420"/>
      <c r="O70" s="6"/>
    </row>
    <row r="71" spans="2:15">
      <c r="B71" s="5"/>
      <c r="C71" s="100" t="s">
        <v>306</v>
      </c>
      <c r="D71" s="136"/>
      <c r="E71" s="135"/>
      <c r="F71" s="399">
        <v>0.22</v>
      </c>
      <c r="G71" s="400">
        <v>0.22</v>
      </c>
      <c r="H71" s="401">
        <v>0.22</v>
      </c>
      <c r="I71" s="402">
        <v>0.21740272369095839</v>
      </c>
      <c r="J71" s="403"/>
      <c r="K71" s="404"/>
      <c r="L71" s="402">
        <v>0.21712036121340275</v>
      </c>
      <c r="M71" s="403"/>
      <c r="N71" s="405"/>
      <c r="O71" s="6"/>
    </row>
    <row r="72" spans="2:15">
      <c r="B72" s="5"/>
      <c r="C72" s="100" t="s">
        <v>307</v>
      </c>
      <c r="D72" s="172"/>
      <c r="E72" s="172"/>
      <c r="F72" s="399">
        <v>0.27</v>
      </c>
      <c r="G72" s="400">
        <v>0.27</v>
      </c>
      <c r="H72" s="401">
        <v>0.27</v>
      </c>
      <c r="I72" s="402">
        <v>0.25287288939943509</v>
      </c>
      <c r="J72" s="403"/>
      <c r="K72" s="404"/>
      <c r="L72" s="402">
        <v>0.25244418051436762</v>
      </c>
      <c r="M72" s="403"/>
      <c r="N72" s="405"/>
      <c r="O72" s="6"/>
    </row>
    <row r="73" spans="2:15">
      <c r="B73" s="5"/>
      <c r="C73" s="100" t="s">
        <v>308</v>
      </c>
      <c r="D73" s="136"/>
      <c r="E73" s="135"/>
      <c r="F73" s="399">
        <v>0.32</v>
      </c>
      <c r="G73" s="400">
        <v>0.32</v>
      </c>
      <c r="H73" s="401">
        <v>0.32</v>
      </c>
      <c r="I73" s="402">
        <v>0.28440799979543951</v>
      </c>
      <c r="J73" s="403"/>
      <c r="K73" s="404"/>
      <c r="L73" s="402">
        <v>0.28523712564409082</v>
      </c>
      <c r="M73" s="403"/>
      <c r="N73" s="405"/>
      <c r="O73" s="6"/>
    </row>
    <row r="74" spans="2:15">
      <c r="B74" s="5"/>
      <c r="C74" s="100" t="s">
        <v>309</v>
      </c>
      <c r="D74" s="136"/>
      <c r="E74" s="135"/>
      <c r="F74" s="399">
        <v>0.36</v>
      </c>
      <c r="G74" s="400">
        <v>0.36</v>
      </c>
      <c r="H74" s="401">
        <v>0.36</v>
      </c>
      <c r="I74" s="402">
        <v>0.3149357994808808</v>
      </c>
      <c r="J74" s="403"/>
      <c r="K74" s="404"/>
      <c r="L74" s="402">
        <v>0.3155810107046641</v>
      </c>
      <c r="M74" s="403"/>
      <c r="N74" s="405"/>
      <c r="O74" s="6"/>
    </row>
    <row r="75" spans="2:15" ht="15.75" thickBot="1">
      <c r="B75" s="5"/>
      <c r="C75" s="101" t="s">
        <v>310</v>
      </c>
      <c r="D75" s="179"/>
      <c r="E75" s="179"/>
      <c r="F75" s="392">
        <v>0.47</v>
      </c>
      <c r="G75" s="393">
        <v>0.47</v>
      </c>
      <c r="H75" s="394">
        <v>0.47</v>
      </c>
      <c r="I75" s="395">
        <v>0.3449266701147356</v>
      </c>
      <c r="J75" s="396"/>
      <c r="K75" s="397"/>
      <c r="L75" s="395">
        <v>0.34545514599582144</v>
      </c>
      <c r="M75" s="396"/>
      <c r="N75" s="398"/>
      <c r="O75" s="6"/>
    </row>
    <row r="76" spans="2:15" ht="15.75" thickBot="1">
      <c r="B76" s="5"/>
      <c r="C76" s="169"/>
      <c r="D76" s="169"/>
      <c r="E76" s="169"/>
      <c r="F76" s="169"/>
      <c r="G76" s="169"/>
      <c r="H76" s="169"/>
      <c r="I76" s="169"/>
      <c r="J76" s="169"/>
      <c r="K76" s="169"/>
      <c r="L76" s="169"/>
      <c r="M76" s="169"/>
      <c r="N76" s="169"/>
      <c r="O76" s="6"/>
    </row>
    <row r="77" spans="2:15">
      <c r="B77" s="5"/>
      <c r="C77" s="258" t="s">
        <v>311</v>
      </c>
      <c r="D77" s="259"/>
      <c r="E77" s="259"/>
      <c r="F77" s="259"/>
      <c r="G77" s="228"/>
      <c r="H77" s="228"/>
      <c r="I77" s="259"/>
      <c r="J77" s="259"/>
      <c r="K77" s="259"/>
      <c r="L77" s="259"/>
      <c r="M77" s="259"/>
      <c r="N77" s="260"/>
      <c r="O77" s="6"/>
    </row>
    <row r="78" spans="2:15">
      <c r="B78" s="5"/>
      <c r="C78" s="181" t="s">
        <v>312</v>
      </c>
      <c r="D78" s="136"/>
      <c r="E78" s="136"/>
      <c r="F78" s="136"/>
      <c r="G78" s="235" t="s">
        <v>313</v>
      </c>
      <c r="H78" s="236"/>
      <c r="I78" s="235" t="s">
        <v>314</v>
      </c>
      <c r="J78" s="236"/>
      <c r="K78" s="235" t="s">
        <v>315</v>
      </c>
      <c r="L78" s="236"/>
      <c r="M78" s="204" t="s">
        <v>316</v>
      </c>
      <c r="N78" s="236"/>
      <c r="O78" s="6"/>
    </row>
    <row r="79" spans="2:15">
      <c r="B79" s="5"/>
      <c r="C79" s="182" t="s">
        <v>317</v>
      </c>
      <c r="D79" s="153"/>
      <c r="E79" s="153"/>
      <c r="F79" s="153"/>
      <c r="G79" s="365">
        <v>598943188.77999961</v>
      </c>
      <c r="H79" s="366"/>
      <c r="I79" s="371">
        <f>G79/$G$84</f>
        <v>0.55091251780704942</v>
      </c>
      <c r="J79" s="368"/>
      <c r="K79" s="365">
        <v>111</v>
      </c>
      <c r="L79" s="366"/>
      <c r="M79" s="371">
        <f>K79/$K$84</f>
        <v>0.63793103448275867</v>
      </c>
      <c r="N79" s="368"/>
      <c r="O79" s="6"/>
    </row>
    <row r="80" spans="2:15">
      <c r="B80" s="5"/>
      <c r="C80" s="182" t="s">
        <v>318</v>
      </c>
      <c r="D80" s="153"/>
      <c r="E80" s="153"/>
      <c r="F80" s="153"/>
      <c r="G80" s="365">
        <v>244170008.62550002</v>
      </c>
      <c r="H80" s="366"/>
      <c r="I80" s="371">
        <f t="shared" ref="I80:I83" si="0">G80/$G$84</f>
        <v>0.22458943810487667</v>
      </c>
      <c r="J80" s="368"/>
      <c r="K80" s="365">
        <v>23</v>
      </c>
      <c r="L80" s="366"/>
      <c r="M80" s="371">
        <f t="shared" ref="M80:M83" si="1">K80/$K$84</f>
        <v>0.13218390804597702</v>
      </c>
      <c r="N80" s="368"/>
      <c r="O80" s="6"/>
    </row>
    <row r="81" spans="2:15">
      <c r="B81" s="5"/>
      <c r="C81" s="182" t="s">
        <v>319</v>
      </c>
      <c r="D81" s="153"/>
      <c r="E81" s="153"/>
      <c r="F81" s="153"/>
      <c r="G81" s="365">
        <v>57020577.417999998</v>
      </c>
      <c r="H81" s="366"/>
      <c r="I81" s="371">
        <f t="shared" si="0"/>
        <v>5.2447962445567993E-2</v>
      </c>
      <c r="J81" s="368"/>
      <c r="K81" s="365">
        <v>5</v>
      </c>
      <c r="L81" s="366"/>
      <c r="M81" s="371">
        <f t="shared" si="1"/>
        <v>2.8735632183908046E-2</v>
      </c>
      <c r="N81" s="368"/>
      <c r="O81" s="6"/>
    </row>
    <row r="82" spans="2:15">
      <c r="B82" s="5"/>
      <c r="C82" s="182" t="s">
        <v>320</v>
      </c>
      <c r="D82" s="153"/>
      <c r="E82" s="153"/>
      <c r="F82" s="153"/>
      <c r="G82" s="365">
        <v>45655398.350000001</v>
      </c>
      <c r="H82" s="366"/>
      <c r="I82" s="371">
        <f t="shared" si="0"/>
        <v>4.1994183968792148E-2</v>
      </c>
      <c r="J82" s="368"/>
      <c r="K82" s="365">
        <v>10</v>
      </c>
      <c r="L82" s="366"/>
      <c r="M82" s="371">
        <f t="shared" si="1"/>
        <v>5.7471264367816091E-2</v>
      </c>
      <c r="N82" s="368"/>
      <c r="O82" s="6"/>
    </row>
    <row r="83" spans="2:15">
      <c r="B83" s="5"/>
      <c r="C83" s="182" t="s">
        <v>321</v>
      </c>
      <c r="D83" s="153"/>
      <c r="E83" s="153"/>
      <c r="F83" s="153"/>
      <c r="G83" s="383">
        <v>141394670.759</v>
      </c>
      <c r="H83" s="384"/>
      <c r="I83" s="371">
        <f t="shared" si="0"/>
        <v>0.13005589767371378</v>
      </c>
      <c r="J83" s="368"/>
      <c r="K83" s="365">
        <v>25</v>
      </c>
      <c r="L83" s="366"/>
      <c r="M83" s="371">
        <f t="shared" si="1"/>
        <v>0.14367816091954022</v>
      </c>
      <c r="N83" s="368"/>
      <c r="O83" s="6"/>
    </row>
    <row r="84" spans="2:15">
      <c r="B84" s="5"/>
      <c r="C84" s="181" t="s">
        <v>322</v>
      </c>
      <c r="D84" s="136"/>
      <c r="E84" s="136"/>
      <c r="F84" s="136"/>
      <c r="G84" s="385">
        <f>SUM(G79:H83)</f>
        <v>1087183843.9324996</v>
      </c>
      <c r="H84" s="386"/>
      <c r="I84" s="388">
        <f>SUM(I79:J83)</f>
        <v>1</v>
      </c>
      <c r="J84" s="389"/>
      <c r="K84" s="381">
        <f>SUM(K79:L83)</f>
        <v>174</v>
      </c>
      <c r="L84" s="360"/>
      <c r="M84" s="359">
        <f>SUM(M79:N83)</f>
        <v>1</v>
      </c>
      <c r="N84" s="360"/>
      <c r="O84" s="6"/>
    </row>
    <row r="85" spans="2:15">
      <c r="B85" s="5"/>
      <c r="C85" s="169"/>
      <c r="D85" s="169"/>
      <c r="E85" s="169"/>
      <c r="F85" s="169"/>
      <c r="G85" s="169"/>
      <c r="H85" s="169"/>
      <c r="I85" s="169"/>
      <c r="J85" s="169"/>
      <c r="K85" s="169"/>
      <c r="L85" s="169"/>
      <c r="M85" s="169"/>
      <c r="N85" s="169"/>
      <c r="O85" s="6"/>
    </row>
    <row r="86" spans="2:15">
      <c r="B86" s="5"/>
      <c r="C86" s="181" t="s">
        <v>323</v>
      </c>
      <c r="D86" s="136"/>
      <c r="E86" s="136"/>
      <c r="F86" s="136"/>
      <c r="G86" s="235" t="s">
        <v>313</v>
      </c>
      <c r="H86" s="236"/>
      <c r="I86" s="235" t="s">
        <v>314</v>
      </c>
      <c r="J86" s="236"/>
      <c r="K86" s="235" t="s">
        <v>315</v>
      </c>
      <c r="L86" s="236"/>
      <c r="M86" s="204" t="s">
        <v>316</v>
      </c>
      <c r="N86" s="236"/>
      <c r="O86" s="6"/>
    </row>
    <row r="87" spans="2:15">
      <c r="B87" s="5"/>
      <c r="C87" s="182" t="s">
        <v>324</v>
      </c>
      <c r="D87" s="153"/>
      <c r="E87" s="153"/>
      <c r="F87" s="153"/>
      <c r="G87" s="365">
        <v>8668352.3699999992</v>
      </c>
      <c r="H87" s="366"/>
      <c r="I87" s="371">
        <f>G87/$G$92</f>
        <v>7.9732166904222281E-3</v>
      </c>
      <c r="J87" s="368"/>
      <c r="K87" s="365">
        <v>5</v>
      </c>
      <c r="L87" s="366"/>
      <c r="M87" s="377">
        <f>K87/$K$92</f>
        <v>2.8735632183908046E-2</v>
      </c>
      <c r="N87" s="378"/>
      <c r="O87" s="6"/>
    </row>
    <row r="88" spans="2:15">
      <c r="B88" s="5"/>
      <c r="C88" s="182" t="s">
        <v>325</v>
      </c>
      <c r="D88" s="153"/>
      <c r="E88" s="153"/>
      <c r="F88" s="153"/>
      <c r="G88" s="365">
        <v>174665649.67849997</v>
      </c>
      <c r="H88" s="366"/>
      <c r="I88" s="371">
        <f t="shared" ref="I88:I91" si="2">G88/$G$92</f>
        <v>0.16065879809868158</v>
      </c>
      <c r="J88" s="368"/>
      <c r="K88" s="365">
        <v>48</v>
      </c>
      <c r="L88" s="366"/>
      <c r="M88" s="371">
        <f t="shared" ref="M88:M91" si="3">K88/$K$92</f>
        <v>0.27586206896551724</v>
      </c>
      <c r="N88" s="368"/>
      <c r="O88" s="6"/>
    </row>
    <row r="89" spans="2:15">
      <c r="B89" s="5"/>
      <c r="C89" s="182" t="s">
        <v>326</v>
      </c>
      <c r="D89" s="153"/>
      <c r="E89" s="153"/>
      <c r="F89" s="153"/>
      <c r="G89" s="365">
        <v>277229018.3555001</v>
      </c>
      <c r="H89" s="366"/>
      <c r="I89" s="371">
        <f t="shared" si="2"/>
        <v>0.25499736765101577</v>
      </c>
      <c r="J89" s="368"/>
      <c r="K89" s="365">
        <v>56</v>
      </c>
      <c r="L89" s="366"/>
      <c r="M89" s="371">
        <f t="shared" si="3"/>
        <v>0.32183908045977011</v>
      </c>
      <c r="N89" s="368"/>
      <c r="O89" s="6"/>
    </row>
    <row r="90" spans="2:15">
      <c r="B90" s="5"/>
      <c r="C90" s="182" t="s">
        <v>327</v>
      </c>
      <c r="D90" s="153"/>
      <c r="E90" s="153"/>
      <c r="F90" s="153"/>
      <c r="G90" s="365">
        <v>407520171.60049975</v>
      </c>
      <c r="H90" s="366"/>
      <c r="I90" s="371">
        <f t="shared" si="2"/>
        <v>0.37484016514303692</v>
      </c>
      <c r="J90" s="368"/>
      <c r="K90" s="365">
        <v>38</v>
      </c>
      <c r="L90" s="366"/>
      <c r="M90" s="371">
        <f t="shared" si="3"/>
        <v>0.21839080459770116</v>
      </c>
      <c r="N90" s="368"/>
      <c r="O90" s="6"/>
    </row>
    <row r="91" spans="2:15">
      <c r="B91" s="5"/>
      <c r="C91" s="182" t="s">
        <v>328</v>
      </c>
      <c r="D91" s="153"/>
      <c r="E91" s="153"/>
      <c r="F91" s="153"/>
      <c r="G91" s="383">
        <v>219100651.92799971</v>
      </c>
      <c r="H91" s="384"/>
      <c r="I91" s="371">
        <f t="shared" si="2"/>
        <v>0.20153045241684361</v>
      </c>
      <c r="J91" s="368"/>
      <c r="K91" s="365">
        <v>27</v>
      </c>
      <c r="L91" s="366"/>
      <c r="M91" s="374">
        <f t="shared" si="3"/>
        <v>0.15517241379310345</v>
      </c>
      <c r="N91" s="373"/>
      <c r="O91" s="6"/>
    </row>
    <row r="92" spans="2:15">
      <c r="B92" s="5"/>
      <c r="C92" s="181" t="s">
        <v>322</v>
      </c>
      <c r="D92" s="136"/>
      <c r="E92" s="136"/>
      <c r="F92" s="136"/>
      <c r="G92" s="385">
        <f>SUM(G87:H91)</f>
        <v>1087183843.9324994</v>
      </c>
      <c r="H92" s="386"/>
      <c r="I92" s="359">
        <f>SUM(I87:J91)</f>
        <v>1</v>
      </c>
      <c r="J92" s="387"/>
      <c r="K92" s="357">
        <f>SUM(K87:L91)</f>
        <v>174</v>
      </c>
      <c r="L92" s="358"/>
      <c r="M92" s="388">
        <f>SUM(M87:N91)</f>
        <v>1</v>
      </c>
      <c r="N92" s="389"/>
      <c r="O92" s="6"/>
    </row>
    <row r="93" spans="2:15">
      <c r="B93" s="5"/>
      <c r="C93" s="7"/>
      <c r="D93" s="7"/>
      <c r="E93" s="7"/>
      <c r="F93" s="7"/>
      <c r="G93" s="7"/>
      <c r="H93" s="7"/>
      <c r="I93" s="7"/>
      <c r="J93" s="7"/>
      <c r="K93" s="7"/>
      <c r="L93" s="7"/>
      <c r="M93" s="7"/>
      <c r="N93" s="7"/>
      <c r="O93" s="6"/>
    </row>
    <row r="94" spans="2:15">
      <c r="B94" s="5"/>
      <c r="C94" s="181" t="s">
        <v>329</v>
      </c>
      <c r="D94" s="136"/>
      <c r="E94" s="136"/>
      <c r="F94" s="136"/>
      <c r="G94" s="235" t="s">
        <v>313</v>
      </c>
      <c r="H94" s="236"/>
      <c r="I94" s="204" t="s">
        <v>314</v>
      </c>
      <c r="J94" s="236"/>
      <c r="K94" s="235" t="s">
        <v>315</v>
      </c>
      <c r="L94" s="236"/>
      <c r="M94" s="390" t="s">
        <v>316</v>
      </c>
      <c r="N94" s="391"/>
      <c r="O94" s="6"/>
    </row>
    <row r="95" spans="2:15">
      <c r="B95" s="5"/>
      <c r="C95" s="182">
        <v>2007</v>
      </c>
      <c r="D95" s="153"/>
      <c r="E95" s="153"/>
      <c r="F95" s="153"/>
      <c r="G95" s="365">
        <v>0</v>
      </c>
      <c r="H95" s="366"/>
      <c r="I95" s="367">
        <f>G95/$G$111</f>
        <v>0</v>
      </c>
      <c r="J95" s="368"/>
      <c r="K95" s="365">
        <v>0</v>
      </c>
      <c r="L95" s="382"/>
      <c r="M95" s="377">
        <f>K95/$K$111</f>
        <v>0</v>
      </c>
      <c r="N95" s="378"/>
      <c r="O95" s="6"/>
    </row>
    <row r="96" spans="2:15">
      <c r="B96" s="5"/>
      <c r="C96" s="182">
        <v>2008</v>
      </c>
      <c r="D96" s="153"/>
      <c r="E96" s="153"/>
      <c r="F96" s="153"/>
      <c r="G96" s="365">
        <v>0</v>
      </c>
      <c r="H96" s="366"/>
      <c r="I96" s="367">
        <f t="shared" ref="I96:I110" si="4">G96/$G$111</f>
        <v>0</v>
      </c>
      <c r="J96" s="368"/>
      <c r="K96" s="365">
        <v>0</v>
      </c>
      <c r="L96" s="382"/>
      <c r="M96" s="371">
        <f t="shared" ref="M96:M110" si="5">K96/$K$111</f>
        <v>0</v>
      </c>
      <c r="N96" s="368"/>
      <c r="O96" s="6"/>
    </row>
    <row r="97" spans="2:15">
      <c r="B97" s="5"/>
      <c r="C97" s="182">
        <v>2009</v>
      </c>
      <c r="D97" s="153"/>
      <c r="E97" s="153"/>
      <c r="F97" s="153"/>
      <c r="G97" s="365">
        <v>0</v>
      </c>
      <c r="H97" s="366"/>
      <c r="I97" s="367">
        <f t="shared" si="4"/>
        <v>0</v>
      </c>
      <c r="J97" s="368"/>
      <c r="K97" s="365">
        <v>0</v>
      </c>
      <c r="L97" s="382"/>
      <c r="M97" s="371">
        <f t="shared" si="5"/>
        <v>0</v>
      </c>
      <c r="N97" s="368"/>
      <c r="O97" s="6"/>
    </row>
    <row r="98" spans="2:15">
      <c r="B98" s="5"/>
      <c r="C98" s="182">
        <v>2010</v>
      </c>
      <c r="D98" s="153"/>
      <c r="E98" s="153"/>
      <c r="F98" s="153"/>
      <c r="G98" s="365">
        <v>365288.93</v>
      </c>
      <c r="H98" s="366"/>
      <c r="I98" s="367">
        <f t="shared" si="4"/>
        <v>3.3599554669493391E-4</v>
      </c>
      <c r="J98" s="368"/>
      <c r="K98" s="365">
        <v>1</v>
      </c>
      <c r="L98" s="382"/>
      <c r="M98" s="371">
        <f t="shared" si="5"/>
        <v>5.7471264367816091E-3</v>
      </c>
      <c r="N98" s="368"/>
      <c r="O98" s="6"/>
    </row>
    <row r="99" spans="2:15">
      <c r="B99" s="5"/>
      <c r="C99" s="182">
        <v>2011</v>
      </c>
      <c r="D99" s="153"/>
      <c r="E99" s="153"/>
      <c r="F99" s="153"/>
      <c r="G99" s="365">
        <v>3298859.57</v>
      </c>
      <c r="H99" s="366"/>
      <c r="I99" s="367">
        <f t="shared" si="4"/>
        <v>3.0343162183753131E-3</v>
      </c>
      <c r="J99" s="368"/>
      <c r="K99" s="365">
        <v>1</v>
      </c>
      <c r="L99" s="382"/>
      <c r="M99" s="371">
        <f t="shared" si="5"/>
        <v>5.7471264367816091E-3</v>
      </c>
      <c r="N99" s="368"/>
      <c r="O99" s="6"/>
    </row>
    <row r="100" spans="2:15">
      <c r="B100" s="5"/>
      <c r="C100" s="182">
        <v>2012</v>
      </c>
      <c r="D100" s="153"/>
      <c r="E100" s="153"/>
      <c r="F100" s="153"/>
      <c r="G100" s="365">
        <v>3149370.87</v>
      </c>
      <c r="H100" s="366"/>
      <c r="I100" s="367">
        <f t="shared" si="4"/>
        <v>2.8968153708100316E-3</v>
      </c>
      <c r="J100" s="368"/>
      <c r="K100" s="365">
        <v>2</v>
      </c>
      <c r="L100" s="382"/>
      <c r="M100" s="371">
        <f t="shared" si="5"/>
        <v>1.1494252873563218E-2</v>
      </c>
      <c r="N100" s="368"/>
      <c r="O100" s="6"/>
    </row>
    <row r="101" spans="2:15">
      <c r="B101" s="5"/>
      <c r="C101" s="182">
        <v>2013</v>
      </c>
      <c r="D101" s="153"/>
      <c r="E101" s="153"/>
      <c r="F101" s="153"/>
      <c r="G101" s="365">
        <v>16890322.579999998</v>
      </c>
      <c r="H101" s="366"/>
      <c r="I101" s="367">
        <f t="shared" si="4"/>
        <v>1.5535847662070914E-2</v>
      </c>
      <c r="J101" s="368"/>
      <c r="K101" s="365">
        <v>5</v>
      </c>
      <c r="L101" s="382"/>
      <c r="M101" s="371">
        <f t="shared" si="5"/>
        <v>2.8735632183908046E-2</v>
      </c>
      <c r="N101" s="368"/>
      <c r="O101" s="6"/>
    </row>
    <row r="102" spans="2:15">
      <c r="B102" s="5"/>
      <c r="C102" s="182">
        <v>2014</v>
      </c>
      <c r="D102" s="153"/>
      <c r="E102" s="153"/>
      <c r="F102" s="153"/>
      <c r="G102" s="365">
        <v>21814745.464000002</v>
      </c>
      <c r="H102" s="366"/>
      <c r="I102" s="367">
        <f t="shared" si="4"/>
        <v>2.006536942739412E-2</v>
      </c>
      <c r="J102" s="368"/>
      <c r="K102" s="365">
        <v>1</v>
      </c>
      <c r="L102" s="382"/>
      <c r="M102" s="371">
        <f t="shared" si="5"/>
        <v>5.7471264367816091E-3</v>
      </c>
      <c r="N102" s="368"/>
      <c r="O102" s="6"/>
    </row>
    <row r="103" spans="2:15">
      <c r="B103" s="5"/>
      <c r="C103" s="182">
        <v>2015</v>
      </c>
      <c r="D103" s="153"/>
      <c r="E103" s="153"/>
      <c r="F103" s="153"/>
      <c r="G103" s="365">
        <v>5475671.0599999996</v>
      </c>
      <c r="H103" s="366"/>
      <c r="I103" s="367">
        <f t="shared" si="4"/>
        <v>5.0365640462368463E-3</v>
      </c>
      <c r="J103" s="368"/>
      <c r="K103" s="365">
        <v>5</v>
      </c>
      <c r="L103" s="382"/>
      <c r="M103" s="371">
        <f t="shared" si="5"/>
        <v>2.8735632183908046E-2</v>
      </c>
      <c r="N103" s="368"/>
      <c r="O103" s="6"/>
    </row>
    <row r="104" spans="2:15">
      <c r="B104" s="5"/>
      <c r="C104" s="182">
        <v>2016</v>
      </c>
      <c r="D104" s="153"/>
      <c r="E104" s="153"/>
      <c r="F104" s="153"/>
      <c r="G104" s="365">
        <v>19864237.539999999</v>
      </c>
      <c r="H104" s="366"/>
      <c r="I104" s="367">
        <f t="shared" si="4"/>
        <v>1.8271277347305128E-2</v>
      </c>
      <c r="J104" s="368"/>
      <c r="K104" s="365">
        <v>7</v>
      </c>
      <c r="L104" s="382"/>
      <c r="M104" s="371">
        <f t="shared" si="5"/>
        <v>4.0229885057471264E-2</v>
      </c>
      <c r="N104" s="368"/>
      <c r="O104" s="6"/>
    </row>
    <row r="105" spans="2:15">
      <c r="B105" s="5"/>
      <c r="C105" s="182">
        <v>2017</v>
      </c>
      <c r="D105" s="153"/>
      <c r="E105" s="153"/>
      <c r="F105" s="153"/>
      <c r="G105" s="365">
        <v>102576761.83</v>
      </c>
      <c r="H105" s="366"/>
      <c r="I105" s="367">
        <f t="shared" si="4"/>
        <v>9.4350888676716482E-2</v>
      </c>
      <c r="J105" s="368"/>
      <c r="K105" s="365">
        <v>13</v>
      </c>
      <c r="L105" s="382"/>
      <c r="M105" s="371">
        <f t="shared" si="5"/>
        <v>7.4712643678160925E-2</v>
      </c>
      <c r="N105" s="368"/>
      <c r="O105" s="6"/>
    </row>
    <row r="106" spans="2:15">
      <c r="B106" s="5"/>
      <c r="C106" s="182">
        <v>2018</v>
      </c>
      <c r="D106" s="153"/>
      <c r="E106" s="153"/>
      <c r="F106" s="153"/>
      <c r="G106" s="365">
        <v>121759176.60000002</v>
      </c>
      <c r="H106" s="366"/>
      <c r="I106" s="367">
        <f t="shared" si="4"/>
        <v>0.11199502023464553</v>
      </c>
      <c r="J106" s="368"/>
      <c r="K106" s="365">
        <v>18</v>
      </c>
      <c r="L106" s="382"/>
      <c r="M106" s="371">
        <f t="shared" si="5"/>
        <v>0.10344827586206896</v>
      </c>
      <c r="N106" s="368"/>
      <c r="O106" s="6"/>
    </row>
    <row r="107" spans="2:15">
      <c r="B107" s="5"/>
      <c r="C107" s="182">
        <v>2019</v>
      </c>
      <c r="D107" s="153"/>
      <c r="E107" s="153"/>
      <c r="F107" s="153"/>
      <c r="G107" s="365">
        <v>230609409.16300002</v>
      </c>
      <c r="H107" s="366"/>
      <c r="I107" s="367">
        <f t="shared" si="4"/>
        <v>0.21211629518780625</v>
      </c>
      <c r="J107" s="368"/>
      <c r="K107" s="365">
        <v>40</v>
      </c>
      <c r="L107" s="382"/>
      <c r="M107" s="371">
        <f t="shared" si="5"/>
        <v>0.22988505747126436</v>
      </c>
      <c r="N107" s="368"/>
      <c r="O107" s="6"/>
    </row>
    <row r="108" spans="2:15">
      <c r="B108" s="5"/>
      <c r="C108" s="182">
        <v>2020</v>
      </c>
      <c r="D108" s="153"/>
      <c r="E108" s="153"/>
      <c r="F108" s="153"/>
      <c r="G108" s="365">
        <v>303203512.89749998</v>
      </c>
      <c r="H108" s="366"/>
      <c r="I108" s="367">
        <f t="shared" si="4"/>
        <v>0.27888890603889899</v>
      </c>
      <c r="J108" s="368"/>
      <c r="K108" s="365">
        <v>40</v>
      </c>
      <c r="L108" s="382"/>
      <c r="M108" s="371">
        <f t="shared" si="5"/>
        <v>0.22988505747126436</v>
      </c>
      <c r="N108" s="368"/>
      <c r="O108" s="6"/>
    </row>
    <row r="109" spans="2:15">
      <c r="B109" s="5"/>
      <c r="C109" s="182">
        <v>2021</v>
      </c>
      <c r="D109" s="153"/>
      <c r="E109" s="153"/>
      <c r="F109" s="153"/>
      <c r="G109" s="365">
        <v>150869569.10600004</v>
      </c>
      <c r="H109" s="366"/>
      <c r="I109" s="367">
        <f t="shared" si="4"/>
        <v>0.13877098151153824</v>
      </c>
      <c r="J109" s="368"/>
      <c r="K109" s="365">
        <v>34</v>
      </c>
      <c r="L109" s="382"/>
      <c r="M109" s="371">
        <f t="shared" si="5"/>
        <v>0.19540229885057472</v>
      </c>
      <c r="N109" s="368"/>
      <c r="O109" s="6"/>
    </row>
    <row r="110" spans="2:15">
      <c r="B110" s="5"/>
      <c r="C110" s="182">
        <v>2022</v>
      </c>
      <c r="D110" s="153"/>
      <c r="E110" s="153"/>
      <c r="F110" s="153"/>
      <c r="G110" s="383">
        <v>107306918.322</v>
      </c>
      <c r="H110" s="384"/>
      <c r="I110" s="367">
        <f t="shared" si="4"/>
        <v>9.8701722731507374E-2</v>
      </c>
      <c r="J110" s="368"/>
      <c r="K110" s="365">
        <v>7</v>
      </c>
      <c r="L110" s="382"/>
      <c r="M110" s="374">
        <f t="shared" si="5"/>
        <v>4.0229885057471264E-2</v>
      </c>
      <c r="N110" s="373"/>
      <c r="O110" s="6"/>
    </row>
    <row r="111" spans="2:15">
      <c r="B111" s="5"/>
      <c r="C111" s="181" t="s">
        <v>322</v>
      </c>
      <c r="D111" s="136"/>
      <c r="E111" s="136"/>
      <c r="F111" s="136"/>
      <c r="G111" s="379">
        <f>SUM(G95:H110)</f>
        <v>1087183843.9324999</v>
      </c>
      <c r="H111" s="380"/>
      <c r="I111" s="359">
        <f>SUM(I95:J110)</f>
        <v>1</v>
      </c>
      <c r="J111" s="360"/>
      <c r="K111" s="381">
        <f>SUM(K95:L110)</f>
        <v>174</v>
      </c>
      <c r="L111" s="360"/>
      <c r="M111" s="359">
        <f>SUM(M95:N110)</f>
        <v>1</v>
      </c>
      <c r="N111" s="360"/>
      <c r="O111" s="6"/>
    </row>
    <row r="112" spans="2:15">
      <c r="B112" s="5"/>
      <c r="C112" s="7"/>
      <c r="D112" s="7"/>
      <c r="E112" s="7"/>
      <c r="F112" s="7"/>
      <c r="G112" s="7"/>
      <c r="H112" s="7"/>
      <c r="I112" s="7"/>
      <c r="J112" s="7"/>
      <c r="K112" s="7"/>
      <c r="L112" s="7"/>
      <c r="M112" s="7"/>
      <c r="N112" s="7"/>
      <c r="O112" s="6"/>
    </row>
    <row r="113" spans="2:15">
      <c r="B113" s="5"/>
      <c r="C113" s="181" t="s">
        <v>330</v>
      </c>
      <c r="D113" s="136"/>
      <c r="E113" s="136"/>
      <c r="F113" s="136"/>
      <c r="G113" s="235" t="s">
        <v>313</v>
      </c>
      <c r="H113" s="236"/>
      <c r="I113" s="235" t="s">
        <v>314</v>
      </c>
      <c r="J113" s="236"/>
      <c r="K113" s="235" t="s">
        <v>315</v>
      </c>
      <c r="L113" s="236"/>
      <c r="M113" s="204" t="s">
        <v>316</v>
      </c>
      <c r="N113" s="236"/>
      <c r="O113" s="6"/>
    </row>
    <row r="114" spans="2:15">
      <c r="B114" s="5"/>
      <c r="C114" s="182" t="s">
        <v>331</v>
      </c>
      <c r="D114" s="153"/>
      <c r="E114" s="153"/>
      <c r="F114" s="153"/>
      <c r="G114" s="375">
        <v>0</v>
      </c>
      <c r="H114" s="376"/>
      <c r="I114" s="367">
        <f>G114/$G$120</f>
        <v>0</v>
      </c>
      <c r="J114" s="368"/>
      <c r="K114" s="369">
        <v>0</v>
      </c>
      <c r="L114" s="370"/>
      <c r="M114" s="377">
        <f>K114/$K$120</f>
        <v>0</v>
      </c>
      <c r="N114" s="378"/>
      <c r="O114" s="6"/>
    </row>
    <row r="115" spans="2:15">
      <c r="B115" s="5"/>
      <c r="C115" s="182" t="s">
        <v>332</v>
      </c>
      <c r="D115" s="153"/>
      <c r="E115" s="153"/>
      <c r="F115" s="153"/>
      <c r="G115" s="365">
        <v>5182945.42</v>
      </c>
      <c r="H115" s="366"/>
      <c r="I115" s="367">
        <f t="shared" ref="I115:I119" si="6">G115/$G$120</f>
        <v>5.6778016073102764E-3</v>
      </c>
      <c r="J115" s="368"/>
      <c r="K115" s="365">
        <v>1</v>
      </c>
      <c r="L115" s="366"/>
      <c r="M115" s="371">
        <f t="shared" ref="M115:M119" si="7">K115/$K$120</f>
        <v>5.7471264367816091E-3</v>
      </c>
      <c r="N115" s="368"/>
      <c r="O115" s="6"/>
    </row>
    <row r="116" spans="2:15">
      <c r="B116" s="5"/>
      <c r="C116" s="182" t="s">
        <v>333</v>
      </c>
      <c r="D116" s="153"/>
      <c r="E116" s="153"/>
      <c r="F116" s="153"/>
      <c r="G116" s="365">
        <v>641945631.26199985</v>
      </c>
      <c r="H116" s="366"/>
      <c r="I116" s="367">
        <f t="shared" si="6"/>
        <v>0.7032371830350459</v>
      </c>
      <c r="J116" s="368"/>
      <c r="K116" s="369">
        <v>11</v>
      </c>
      <c r="L116" s="370"/>
      <c r="M116" s="371">
        <f t="shared" si="7"/>
        <v>6.3218390804597707E-2</v>
      </c>
      <c r="N116" s="368"/>
      <c r="O116" s="6"/>
    </row>
    <row r="117" spans="2:15">
      <c r="B117" s="5"/>
      <c r="C117" s="182" t="s">
        <v>334</v>
      </c>
      <c r="D117" s="153"/>
      <c r="E117" s="153"/>
      <c r="F117" s="153"/>
      <c r="G117" s="365">
        <v>230414955.41749966</v>
      </c>
      <c r="H117" s="366"/>
      <c r="I117" s="367">
        <f t="shared" si="6"/>
        <v>0.25241446671800094</v>
      </c>
      <c r="J117" s="368"/>
      <c r="K117" s="369">
        <v>109</v>
      </c>
      <c r="L117" s="370"/>
      <c r="M117" s="371">
        <f t="shared" si="7"/>
        <v>0.62643678160919536</v>
      </c>
      <c r="N117" s="368"/>
      <c r="O117" s="6"/>
    </row>
    <row r="118" spans="2:15">
      <c r="B118" s="5"/>
      <c r="C118" s="182" t="s">
        <v>335</v>
      </c>
      <c r="D118" s="153"/>
      <c r="E118" s="153"/>
      <c r="F118" s="153"/>
      <c r="G118" s="365">
        <v>35300166.653000116</v>
      </c>
      <c r="H118" s="366"/>
      <c r="I118" s="367">
        <f t="shared" si="6"/>
        <v>3.8670548639642956E-2</v>
      </c>
      <c r="J118" s="368"/>
      <c r="K118" s="369">
        <v>46</v>
      </c>
      <c r="L118" s="370"/>
      <c r="M118" s="371">
        <f t="shared" si="7"/>
        <v>0.26436781609195403</v>
      </c>
      <c r="N118" s="368"/>
      <c r="O118" s="6"/>
    </row>
    <row r="119" spans="2:15">
      <c r="B119" s="5"/>
      <c r="C119" s="182" t="s">
        <v>336</v>
      </c>
      <c r="D119" s="153"/>
      <c r="E119" s="153"/>
      <c r="F119" s="153"/>
      <c r="G119" s="365">
        <v>0</v>
      </c>
      <c r="H119" s="366"/>
      <c r="I119" s="372">
        <f t="shared" si="6"/>
        <v>0</v>
      </c>
      <c r="J119" s="373"/>
      <c r="K119" s="369">
        <v>7</v>
      </c>
      <c r="L119" s="370"/>
      <c r="M119" s="374">
        <f t="shared" si="7"/>
        <v>4.0229885057471264E-2</v>
      </c>
      <c r="N119" s="373"/>
      <c r="O119" s="6"/>
    </row>
    <row r="120" spans="2:15">
      <c r="B120" s="5"/>
      <c r="C120" s="181" t="s">
        <v>322</v>
      </c>
      <c r="D120" s="136"/>
      <c r="E120" s="136"/>
      <c r="F120" s="136"/>
      <c r="G120" s="357">
        <f>SUM(G114:H119)</f>
        <v>912843698.75249958</v>
      </c>
      <c r="H120" s="358"/>
      <c r="I120" s="359">
        <f>SUM(I114:J119)</f>
        <v>1</v>
      </c>
      <c r="J120" s="360"/>
      <c r="K120" s="361">
        <f>SUM(K114:L119)</f>
        <v>174</v>
      </c>
      <c r="L120" s="362"/>
      <c r="M120" s="363">
        <f>SUM(M114:N119)</f>
        <v>1</v>
      </c>
      <c r="N120" s="364"/>
      <c r="O120" s="6"/>
    </row>
    <row r="121" spans="2:15" ht="15.75" thickBot="1">
      <c r="B121" s="143"/>
      <c r="C121" s="144"/>
      <c r="D121" s="144"/>
      <c r="E121" s="144"/>
      <c r="F121" s="144"/>
      <c r="G121" s="144"/>
      <c r="H121" s="144"/>
      <c r="I121" s="144"/>
      <c r="J121" s="144"/>
      <c r="K121" s="144"/>
      <c r="L121" s="144"/>
      <c r="M121" s="144"/>
      <c r="N121" s="144"/>
      <c r="O121" s="88"/>
    </row>
  </sheetData>
  <mergeCells count="263">
    <mergeCell ref="C3:N4"/>
    <mergeCell ref="C6:N6"/>
    <mergeCell ref="J8:N8"/>
    <mergeCell ref="J9:N9"/>
    <mergeCell ref="C10:E11"/>
    <mergeCell ref="J10:N10"/>
    <mergeCell ref="J11:N11"/>
    <mergeCell ref="C17:E18"/>
    <mergeCell ref="J17:N17"/>
    <mergeCell ref="J18:N18"/>
    <mergeCell ref="J19:N19"/>
    <mergeCell ref="J20:N20"/>
    <mergeCell ref="C22:N22"/>
    <mergeCell ref="J12:N12"/>
    <mergeCell ref="C13:E14"/>
    <mergeCell ref="J13:N13"/>
    <mergeCell ref="J14:N14"/>
    <mergeCell ref="J15:N15"/>
    <mergeCell ref="J16:N16"/>
    <mergeCell ref="J29:N29"/>
    <mergeCell ref="J30:M30"/>
    <mergeCell ref="J31:M31"/>
    <mergeCell ref="C32:N32"/>
    <mergeCell ref="J33:N33"/>
    <mergeCell ref="J34:M34"/>
    <mergeCell ref="C23:N23"/>
    <mergeCell ref="J24:N24"/>
    <mergeCell ref="C25:N25"/>
    <mergeCell ref="J26:N26"/>
    <mergeCell ref="J27:M27"/>
    <mergeCell ref="J28:M28"/>
    <mergeCell ref="J41:M41"/>
    <mergeCell ref="J42:N42"/>
    <mergeCell ref="J43:N43"/>
    <mergeCell ref="J44:N44"/>
    <mergeCell ref="J45:N45"/>
    <mergeCell ref="J46:M46"/>
    <mergeCell ref="J35:M35"/>
    <mergeCell ref="J36:M36"/>
    <mergeCell ref="C37:N37"/>
    <mergeCell ref="J38:N38"/>
    <mergeCell ref="J39:M39"/>
    <mergeCell ref="J40:M40"/>
    <mergeCell ref="I53:K53"/>
    <mergeCell ref="L53:N53"/>
    <mergeCell ref="I54:K54"/>
    <mergeCell ref="L54:N54"/>
    <mergeCell ref="I55:J55"/>
    <mergeCell ref="L55:M55"/>
    <mergeCell ref="J47:M47"/>
    <mergeCell ref="C48:N48"/>
    <mergeCell ref="J49:N49"/>
    <mergeCell ref="C51:N51"/>
    <mergeCell ref="I52:K52"/>
    <mergeCell ref="L52:N52"/>
    <mergeCell ref="I59:J59"/>
    <mergeCell ref="L59:M59"/>
    <mergeCell ref="I60:J60"/>
    <mergeCell ref="L60:M60"/>
    <mergeCell ref="I61:J61"/>
    <mergeCell ref="L61:M61"/>
    <mergeCell ref="I56:J56"/>
    <mergeCell ref="L56:M56"/>
    <mergeCell ref="I57:J57"/>
    <mergeCell ref="L57:M57"/>
    <mergeCell ref="I58:K58"/>
    <mergeCell ref="L58:N58"/>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F71:H71"/>
    <mergeCell ref="I71:K71"/>
    <mergeCell ref="L71:N71"/>
    <mergeCell ref="F72:H72"/>
    <mergeCell ref="I72:K72"/>
    <mergeCell ref="L72:N72"/>
    <mergeCell ref="F69:H69"/>
    <mergeCell ref="I69:K69"/>
    <mergeCell ref="L69:N69"/>
    <mergeCell ref="F70:H70"/>
    <mergeCell ref="I70:K70"/>
    <mergeCell ref="L70:N7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11:H111"/>
    <mergeCell ref="I111:J111"/>
    <mergeCell ref="K111:L111"/>
    <mergeCell ref="M111:N111"/>
    <mergeCell ref="G113:H113"/>
    <mergeCell ref="I113:J113"/>
    <mergeCell ref="K113:L113"/>
    <mergeCell ref="M113:N113"/>
    <mergeCell ref="G109:H109"/>
    <mergeCell ref="I109:J109"/>
    <mergeCell ref="K109:L109"/>
    <mergeCell ref="M109:N109"/>
    <mergeCell ref="G110:H110"/>
    <mergeCell ref="I110:J110"/>
    <mergeCell ref="K110:L110"/>
    <mergeCell ref="M110:N110"/>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20:H120"/>
    <mergeCell ref="I120:J120"/>
    <mergeCell ref="K120:L120"/>
    <mergeCell ref="M120:N120"/>
    <mergeCell ref="G118:H118"/>
    <mergeCell ref="I118:J118"/>
    <mergeCell ref="K118:L118"/>
    <mergeCell ref="M118:N118"/>
    <mergeCell ref="G119:H119"/>
    <mergeCell ref="I119:J119"/>
    <mergeCell ref="K119:L119"/>
    <mergeCell ref="M119:N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6" ma:contentTypeDescription="Create a new document." ma:contentTypeScope="" ma:versionID="0b1401607088dd2e4c43b6d7ad9cb31f">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231b2d7a4438a535ae1dab591ecbea2"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8709e2e-4da8-42d3-bf03-d1d83e4744e5">
      <UserInfo>
        <DisplayName>Ilona Roodt</DisplayName>
        <AccountId>12</AccountId>
        <AccountType/>
      </UserInfo>
      <UserInfo>
        <DisplayName>Aidan-John Rothman</DisplayName>
        <AccountId>32</AccountId>
        <AccountType/>
      </UserInfo>
    </SharedWithUsers>
    <TaxCatchAll xmlns="18709e2e-4da8-42d3-bf03-d1d83e4744e5" xsi:nil="true"/>
    <lcf76f155ced4ddcb4097134ff3c332f xmlns="a23105ca-3395-4058-8284-88e334f7b9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A1F86B-32CA-4BDF-B8ED-35466F919F37}">
  <ds:schemaRefs>
    <ds:schemaRef ds:uri="http://schemas.microsoft.com/sharepoint/v3/contenttype/forms"/>
  </ds:schemaRefs>
</ds:datastoreItem>
</file>

<file path=customXml/itemProps2.xml><?xml version="1.0" encoding="utf-8"?>
<ds:datastoreItem xmlns:ds="http://schemas.openxmlformats.org/officeDocument/2006/customXml" ds:itemID="{720D3BB6-940C-4EE2-AF39-D2C068EEE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52C15D-B47D-4853-9AC2-173772D95C9F}">
  <ds:schemaRefs>
    <ds:schemaRef ds:uri="http://schemas.microsoft.com/office/2006/metadata/properties"/>
    <ds:schemaRef ds:uri="http://schemas.microsoft.com/office/infopath/2007/PartnerControls"/>
    <ds:schemaRef ds:uri="18709e2e-4da8-42d3-bf03-d1d83e4744e5"/>
    <ds:schemaRef ds:uri="a23105ca-3395-4058-8284-88e334f7b9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Tebogo Moseamedi</dc:creator>
  <cp:keywords/>
  <dc:description/>
  <cp:lastModifiedBy>Tebogo Moseamedi</cp:lastModifiedBy>
  <cp:revision/>
  <dcterms:created xsi:type="dcterms:W3CDTF">2022-08-10T16:55:18Z</dcterms:created>
  <dcterms:modified xsi:type="dcterms:W3CDTF">2022-09-09T07:34:46Z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