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2/Urban Ubomi 1/Investor Reports/3. Nov 2021/"/>
    </mc:Choice>
  </mc:AlternateContent>
  <xr:revisionPtr revIDLastSave="114" documentId="13_ncr:1_{040FDBD5-4295-4E80-9313-BFA0D4585031}" xr6:coauthVersionLast="47" xr6:coauthVersionMax="47" xr10:uidLastSave="{82475A47-F277-4840-9DE2-F32F0353CA9B}"/>
  <bookViews>
    <workbookView xWindow="28680" yWindow="-3495" windowWidth="29040" windowHeight="15840" xr2:uid="{63EC3812-7322-410C-A6D5-5BD43C9A20CF}"/>
  </bookViews>
  <sheets>
    <sheet name="Admin Report" sheetId="1" r:id="rId1"/>
    <sheet name="Servicer Report" sheetId="2" r:id="rId2"/>
  </sheets>
  <externalReferences>
    <externalReference r:id="rId3"/>
  </externalReference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_xlnm.Print_Area" localSheetId="0">'Admin Report'!$B$2:$O$219</definedName>
    <definedName name="_xlnm.Print_Area" localSheetId="1">'Servicer Report'!$B$2:$O$118</definedName>
    <definedName name="Recon2" hidden="1">#REF!</definedName>
    <definedName name="wrn.Report1." hidden="1">{#N/A,#N/A,FALSE,"Glossary"}</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2" i="1" l="1"/>
  <c r="L182" i="1" s="1"/>
  <c r="K117" i="2"/>
  <c r="M111" i="2" s="1"/>
  <c r="G117" i="2"/>
  <c r="I115" i="2" s="1"/>
  <c r="M116" i="2"/>
  <c r="K108" i="2"/>
  <c r="M100" i="2" s="1"/>
  <c r="G108" i="2"/>
  <c r="I106" i="2" s="1"/>
  <c r="K90" i="2"/>
  <c r="M89" i="2" s="1"/>
  <c r="G90" i="2"/>
  <c r="I88" i="2" s="1"/>
  <c r="K82" i="2"/>
  <c r="M81" i="2" s="1"/>
  <c r="G82" i="2"/>
  <c r="I80" i="2" s="1"/>
  <c r="M77" i="2"/>
  <c r="L61" i="2"/>
  <c r="L56" i="2"/>
  <c r="I56" i="2"/>
  <c r="L52" i="2"/>
  <c r="I52" i="2"/>
  <c r="J43" i="2"/>
  <c r="J36" i="2"/>
  <c r="J31" i="2"/>
  <c r="J26" i="2"/>
  <c r="J11" i="2"/>
  <c r="J12" i="2" s="1"/>
  <c r="J8" i="2"/>
  <c r="I216" i="1"/>
  <c r="L208" i="1"/>
  <c r="I207" i="1"/>
  <c r="L207" i="1" s="1"/>
  <c r="L206" i="1"/>
  <c r="I204" i="1"/>
  <c r="I201" i="1"/>
  <c r="J95" i="1" s="1"/>
  <c r="I198" i="1"/>
  <c r="I192" i="1"/>
  <c r="F166" i="1" s="1"/>
  <c r="L166" i="1" s="1"/>
  <c r="I191" i="1"/>
  <c r="I188" i="1"/>
  <c r="I187" i="1"/>
  <c r="L183" i="1"/>
  <c r="L181" i="1"/>
  <c r="L180" i="1"/>
  <c r="L177" i="1"/>
  <c r="L176" i="1"/>
  <c r="L175" i="1"/>
  <c r="L174" i="1"/>
  <c r="L173" i="1" s="1"/>
  <c r="F173" i="1"/>
  <c r="L172" i="1"/>
  <c r="L171" i="1"/>
  <c r="L170" i="1"/>
  <c r="L169" i="1"/>
  <c r="L168" i="1" s="1"/>
  <c r="F168" i="1"/>
  <c r="L167" i="1"/>
  <c r="L165" i="1"/>
  <c r="L164" i="1"/>
  <c r="L163" i="1"/>
  <c r="L162" i="1"/>
  <c r="L157" i="1"/>
  <c r="L156" i="1"/>
  <c r="L155" i="1"/>
  <c r="L152" i="1"/>
  <c r="L148" i="1"/>
  <c r="L147" i="1"/>
  <c r="L146" i="1"/>
  <c r="L145" i="1"/>
  <c r="L144" i="1"/>
  <c r="L143" i="1"/>
  <c r="F143" i="1"/>
  <c r="L142" i="1"/>
  <c r="L141" i="1"/>
  <c r="L140" i="1"/>
  <c r="F140" i="1"/>
  <c r="F139" i="1"/>
  <c r="L139" i="1" s="1"/>
  <c r="F138" i="1"/>
  <c r="F137" i="1" s="1"/>
  <c r="L136" i="1"/>
  <c r="J103" i="1"/>
  <c r="J93" i="1"/>
  <c r="J87" i="1"/>
  <c r="J81" i="1" s="1"/>
  <c r="J84" i="1"/>
  <c r="J79" i="1"/>
  <c r="J77" i="1"/>
  <c r="J76" i="1"/>
  <c r="J72" i="1"/>
  <c r="J69" i="1"/>
  <c r="J68" i="1"/>
  <c r="J67" i="1"/>
  <c r="J63" i="1"/>
  <c r="J60" i="1"/>
  <c r="J56" i="1"/>
  <c r="J55" i="1"/>
  <c r="M49" i="1"/>
  <c r="K49" i="1"/>
  <c r="I49" i="1"/>
  <c r="G49" i="1"/>
  <c r="G47" i="1"/>
  <c r="I46" i="1"/>
  <c r="K46" i="1" s="1"/>
  <c r="M43" i="1"/>
  <c r="K43" i="1"/>
  <c r="I43" i="1"/>
  <c r="G43" i="1"/>
  <c r="M40" i="1"/>
  <c r="K40" i="1"/>
  <c r="I40" i="1"/>
  <c r="M34" i="1"/>
  <c r="K34" i="1"/>
  <c r="I34" i="1"/>
  <c r="G34" i="1"/>
  <c r="M32" i="1"/>
  <c r="K32" i="1"/>
  <c r="I32" i="1"/>
  <c r="G32" i="1"/>
  <c r="M29" i="1"/>
  <c r="M30" i="1" s="1"/>
  <c r="K29" i="1"/>
  <c r="K30" i="1" s="1"/>
  <c r="I29" i="1"/>
  <c r="I30" i="1" s="1"/>
  <c r="G29" i="1"/>
  <c r="G206" i="1" s="1"/>
  <c r="I212" i="1" s="1"/>
  <c r="M28" i="1"/>
  <c r="K28" i="1"/>
  <c r="I28" i="1"/>
  <c r="G28" i="1"/>
  <c r="J14" i="1"/>
  <c r="J13" i="1"/>
  <c r="J15" i="1" s="1"/>
  <c r="J16" i="1" s="1"/>
  <c r="J10" i="1"/>
  <c r="J9" i="1"/>
  <c r="J8" i="1" s="1"/>
  <c r="I93" i="2" l="1"/>
  <c r="I95" i="2"/>
  <c r="I97" i="2"/>
  <c r="I99" i="2"/>
  <c r="I101" i="2"/>
  <c r="I103" i="2"/>
  <c r="M79" i="2"/>
  <c r="M102" i="2"/>
  <c r="M96" i="2"/>
  <c r="M101" i="2"/>
  <c r="M105" i="2"/>
  <c r="M94" i="2"/>
  <c r="M98" i="2"/>
  <c r="M106" i="2"/>
  <c r="M107" i="2"/>
  <c r="M93" i="2"/>
  <c r="M99" i="2"/>
  <c r="I112" i="2"/>
  <c r="M86" i="2"/>
  <c r="M112" i="2"/>
  <c r="J66" i="1"/>
  <c r="M97" i="2"/>
  <c r="M103" i="2"/>
  <c r="M113" i="2"/>
  <c r="I78" i="2"/>
  <c r="J100" i="1"/>
  <c r="J99" i="1" s="1"/>
  <c r="I108" i="1" s="1"/>
  <c r="I51" i="2"/>
  <c r="M78" i="2"/>
  <c r="M85" i="2"/>
  <c r="I107" i="2"/>
  <c r="I113" i="2"/>
  <c r="I79" i="2"/>
  <c r="I86" i="2"/>
  <c r="I114" i="2"/>
  <c r="I36" i="1"/>
  <c r="F151" i="1" s="1"/>
  <c r="L151" i="1" s="1"/>
  <c r="M80" i="2"/>
  <c r="M87" i="2"/>
  <c r="I104" i="2"/>
  <c r="M114" i="2"/>
  <c r="L51" i="2"/>
  <c r="I81" i="2"/>
  <c r="M88" i="2"/>
  <c r="M95" i="2"/>
  <c r="I100" i="2"/>
  <c r="M104" i="2"/>
  <c r="I111" i="2"/>
  <c r="M115" i="2"/>
  <c r="J94" i="1"/>
  <c r="J92" i="1" s="1"/>
  <c r="I77" i="2"/>
  <c r="I96" i="2"/>
  <c r="I105" i="2"/>
  <c r="I116" i="2"/>
  <c r="K36" i="1"/>
  <c r="I211" i="1"/>
  <c r="M36" i="1"/>
  <c r="K47" i="1"/>
  <c r="M46" i="1"/>
  <c r="M47" i="1" s="1"/>
  <c r="F179" i="1"/>
  <c r="J11" i="1"/>
  <c r="J12" i="1" s="1"/>
  <c r="I47" i="1"/>
  <c r="F158" i="1"/>
  <c r="L158" i="1" s="1"/>
  <c r="I85" i="2"/>
  <c r="I89" i="2"/>
  <c r="I94" i="2"/>
  <c r="I98" i="2"/>
  <c r="I102" i="2"/>
  <c r="G30" i="1"/>
  <c r="G36" i="1" s="1"/>
  <c r="L138" i="1"/>
  <c r="L137" i="1" s="1"/>
  <c r="I87" i="2"/>
  <c r="M82" i="2" l="1"/>
  <c r="F161" i="1"/>
  <c r="L161" i="1" s="1"/>
  <c r="M117" i="2"/>
  <c r="M108" i="2"/>
  <c r="I82" i="2"/>
  <c r="I117" i="2"/>
  <c r="I37" i="1"/>
  <c r="I38" i="1" s="1"/>
  <c r="M90" i="2"/>
  <c r="I108" i="2"/>
  <c r="L179" i="1"/>
  <c r="F178" i="1"/>
  <c r="F153" i="1"/>
  <c r="L153" i="1" s="1"/>
  <c r="K37" i="1"/>
  <c r="K38" i="1" s="1"/>
  <c r="M37" i="1"/>
  <c r="F154" i="1"/>
  <c r="L154" i="1" s="1"/>
  <c r="M38" i="1"/>
  <c r="I90" i="2"/>
  <c r="I136" i="1"/>
  <c r="F150" i="1"/>
  <c r="G37" i="1"/>
  <c r="G38" i="1" s="1"/>
  <c r="F160" i="1" l="1"/>
  <c r="L160" i="1" s="1"/>
  <c r="L159" i="1" s="1"/>
  <c r="G39" i="1"/>
  <c r="G40" i="1" s="1"/>
  <c r="K41" i="1" s="1"/>
  <c r="L150" i="1"/>
  <c r="L149" i="1" s="1"/>
  <c r="F149" i="1"/>
  <c r="I184" i="1"/>
  <c r="L184" i="1" s="1"/>
  <c r="I137" i="1"/>
  <c r="I214" i="1"/>
  <c r="I215" i="1" s="1"/>
  <c r="I218" i="1" s="1"/>
  <c r="L178" i="1"/>
  <c r="G41" i="1" l="1"/>
  <c r="F159" i="1"/>
  <c r="I41" i="1"/>
  <c r="F184" i="1"/>
  <c r="M41" i="1"/>
  <c r="J19" i="1"/>
  <c r="I140" i="1"/>
  <c r="I139" i="1"/>
  <c r="I138" i="1"/>
  <c r="I143" i="1" l="1"/>
  <c r="I142" i="1"/>
  <c r="I141" i="1"/>
  <c r="I147" i="1" l="1"/>
  <c r="I148" i="1" s="1"/>
  <c r="I149" i="1" s="1"/>
  <c r="I146" i="1"/>
  <c r="I145" i="1"/>
  <c r="I144" i="1"/>
  <c r="I153" i="1" l="1"/>
  <c r="I154" i="1" s="1"/>
  <c r="I150" i="1"/>
  <c r="I152" i="1"/>
  <c r="I151" i="1"/>
  <c r="I155" i="1" l="1"/>
  <c r="I156" i="1" s="1"/>
  <c r="I158" i="1"/>
  <c r="I159" i="1" s="1"/>
  <c r="I166" i="1" l="1"/>
  <c r="I167" i="1" s="1"/>
  <c r="I168" i="1" s="1"/>
  <c r="I163" i="1"/>
  <c r="I162" i="1"/>
  <c r="I160" i="1"/>
  <c r="I165" i="1"/>
  <c r="I164" i="1"/>
  <c r="I161" i="1"/>
  <c r="I157" i="1"/>
  <c r="I109" i="1"/>
  <c r="I110" i="1" s="1"/>
  <c r="I170" i="1" l="1"/>
  <c r="I171" i="1"/>
  <c r="I172" i="1" s="1"/>
  <c r="I173" i="1" s="1"/>
  <c r="I169" i="1"/>
  <c r="I174" i="1" l="1"/>
  <c r="I175" i="1"/>
  <c r="I176" i="1" s="1"/>
  <c r="I177" i="1" s="1"/>
  <c r="I178" i="1" s="1"/>
  <c r="I182" i="1" l="1"/>
  <c r="I183" i="1" s="1"/>
  <c r="I181" i="1"/>
  <c r="I179" i="1"/>
  <c r="I18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tc={6B240C1B-E88E-4E97-9488-83EE48B80A23}</author>
    <author>tc={23656F1D-B55A-47EB-AC79-EFAA3AB8007C}</author>
    <author>tc={C3F5BC27-7ED4-4A7A-A208-165BC1399250}</author>
    <author>tc={1EA7B96C-CEC2-4110-9AC0-EB1D77B6A558}</author>
    <author>tc={AE4BAADD-D173-43E1-B739-96C3C93C8D7C}</author>
    <author>tc={17BF493F-88DA-419F-90A7-B7217FE1E22C}</author>
    <author>tc={45CED17F-4403-479C-B0B3-9A06BDB2A018}</author>
    <author>tc={EBBC5FB2-1130-4CAD-956A-847B8291FA60}</author>
    <author>tc={B4030184-12FA-4DD3-86EF-8AA63FB6560B}</author>
    <author>tc={CF34A1A7-6DA7-48EC-8BB0-CD9B546B060E}</author>
    <author>tc={D671135F-D5F3-45D1-BF92-8ECECEAF2917}</author>
    <author>tc={07D5186E-3F97-4213-A68F-66C79DBA5AF3}</author>
    <author>tc={9F32FBED-FE69-4D5B-B741-A3D73EC358B4}</author>
    <author>tc={86FA7D88-1B2E-4BD0-B0E9-93C8462C3EC2}</author>
    <author>tc={8E686134-F5D7-40FE-AFF6-50CEBC498B2F}</author>
    <author>tc={4BE2E71E-A425-442B-952A-D2ED7C3F3DA0}</author>
    <author>tc={D2193AAC-F5B2-47CC-83B9-875067DDE124}</author>
    <author>tc={D16EF5CC-74C8-4CA2-A50C-023842AE15EB}</author>
    <author>tc={7463FD38-C578-43D4-A483-2802FD2A8B09}</author>
    <author>tc={69A01C84-05D0-476E-A22F-AE99D7DA572C}</author>
    <author>tc={86C11367-8728-40E4-8A2F-493D9A6EF661}</author>
    <author>tc={4BA5EF47-5A4F-4EC8-999D-CAEAC387B810}</author>
    <author>tc={023CFBE0-FC4F-4EB4-83DF-2D9499678F86}</author>
    <author>tc={7C275D5B-ADE6-44AD-8EBC-B8FC53B8685A}</author>
    <author>tc={CF9A9206-3A41-4C6C-AB40-3F2624DC07F4}</author>
    <author>tc={C593A24F-4CF7-4AA6-B2D1-12E17E527CE1}</author>
    <author>tc={55853F8A-BB9E-4F34-9544-331DDC0C37F6}</author>
    <author>tc={FC496448-7B4D-4169-A925-F00103D097F8}</author>
    <author>tc={FFDABEA5-B5F9-4450-A2CD-25FA54F40523}</author>
    <author>tc={D2B7CCB4-C03A-4103-9D86-508D74D4735F}</author>
    <author>tc={AC30A38B-40FC-4D05-8306-581A1A2E587B}</author>
    <author>tc={B8ACF28E-A4B8-4464-9E13-58D48083E7F4}</author>
    <author>tc={F84A2CF9-3730-45FD-A2E1-AF0C6F2F6F9E}</author>
    <author>tc={BFA184C0-B438-479C-AC15-00133FD97F60}</author>
    <author>tc={9A1B3889-875E-4E22-8AC2-83162944483F}</author>
    <author>tc={8109FE9C-256E-4AD6-AF51-531304A000A7}</author>
    <author>tc={65E306E7-49AC-4AC2-8774-773687C84CEE}</author>
    <author>tc={B0742EB2-5819-40A0-B1B5-CFD25CEBD7D2}</author>
    <author>tc={E880061F-FB63-4D1E-AEE5-99D5F525CE98}</author>
    <author>tc={B7BF8E43-C473-47A2-949D-61A0A7F89FF0}</author>
    <author>tc={B2D4BF83-CDE6-41C9-A9CB-EE1F669A94E8}</author>
    <author>tc={E88507BF-6EE6-4DC0-BE74-05C930B1877D}</author>
  </authors>
  <commentList>
    <comment ref="C8" authorId="0" shapeId="0" xr:uid="{6B240C1B-E88E-4E97-9488-83EE48B80A23}">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23656F1D-B55A-47EB-AC79-EFAA3AB8007C}">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C3F5BC27-7ED4-4A7A-A208-165BC1399250}">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1EA7B96C-CEC2-4110-9AC0-EB1D77B6A558}">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AE4BAADD-D173-43E1-B739-96C3C93C8D7C}">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17BF493F-88DA-419F-90A7-B7217FE1E22C}">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1" authorId="6" shapeId="0" xr:uid="{45CED17F-4403-479C-B0B3-9A06BDB2A018}">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Q96" authorId="7" shapeId="0" xr:uid="{EBBC5FB2-1130-4CAD-956A-847B8291FA60}">
      <text>
        <t>[Threaded comment]
Your version of Excel allows you to read this threaded comment; however, any edits to it will get removed if the file is opened in a newer version of Excel. Learn more: https://go.microsoft.com/fwlink/?linkid=870924
Comment:
    Relates to advances made from TUHF Limited on behalf of UU1</t>
      </text>
    </comment>
    <comment ref="C99" authorId="8" shapeId="0" xr:uid="{B4030184-12FA-4DD3-86EF-8AA63FB6560B}">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0" authorId="9" shapeId="0" xr:uid="{CF34A1A7-6DA7-48EC-8BB0-CD9B546B060E}">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4" authorId="10" shapeId="0" xr:uid="{D671135F-D5F3-45D1-BF92-8ECECEAF2917}">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5" authorId="11" shapeId="0" xr:uid="{07D5186E-3F97-4213-A68F-66C79DBA5AF3}">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1" authorId="12" shapeId="0" xr:uid="{9F32FBED-FE69-4D5B-B741-A3D73EC358B4}">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0" authorId="13" shapeId="0" xr:uid="{86FA7D88-1B2E-4BD0-B0E9-93C8462C3EC2}">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2" authorId="14" shapeId="0" xr:uid="{8E686134-F5D7-40FE-AFF6-50CEBC498B2F}">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6" authorId="15" shapeId="0" xr:uid="{4BE2E71E-A425-442B-952A-D2ED7C3F3DA0}">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37" authorId="16" shapeId="0" xr:uid="{D2193AAC-F5B2-47CC-83B9-875067DDE124}">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0" authorId="17" shapeId="0" xr:uid="{D16EF5CC-74C8-4CA2-A50C-023842AE15EB}">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3" authorId="18" shapeId="0" xr:uid="{7463FD38-C578-43D4-A483-2802FD2A8B09}">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47" authorId="19" shapeId="0" xr:uid="{69A01C84-05D0-476E-A22F-AE99D7DA572C}">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48" authorId="20" shapeId="0" xr:uid="{86C11367-8728-40E4-8A2F-493D9A6EF661}">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49" authorId="21" shapeId="0" xr:uid="{4BA5EF47-5A4F-4EC8-999D-CAEAC387B810}">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3" authorId="22" shapeId="0" xr:uid="{023CFBE0-FC4F-4EB4-83DF-2D9499678F86}">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4" authorId="23" shapeId="0" xr:uid="{7C275D5B-ADE6-44AD-8EBC-B8FC53B8685A}">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5" authorId="24" shapeId="0" xr:uid="{CF9A9206-3A41-4C6C-AB40-3F2624DC07F4}">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6" authorId="25" shapeId="0" xr:uid="{C593A24F-4CF7-4AA6-B2D1-12E17E527CE1}">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57" authorId="26" shapeId="0" xr:uid="{55853F8A-BB9E-4F34-9544-331DDC0C37F6}">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58" authorId="27" shapeId="0" xr:uid="{FC496448-7B4D-4169-A925-F00103D097F8}">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59" authorId="28" shapeId="0" xr:uid="{FFDABEA5-B5F9-4450-A2CD-25FA54F40523}">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6" authorId="29" shapeId="0" xr:uid="{D2B7CCB4-C03A-4103-9D86-508D74D4735F}">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67" authorId="30" shapeId="0" xr:uid="{AC30A38B-40FC-4D05-8306-581A1A2E587B}">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68" authorId="31" shapeId="0" xr:uid="{B8ACF28E-A4B8-4464-9E13-58D48083E7F4}">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1" authorId="32" shapeId="0" xr:uid="{F84A2CF9-3730-45FD-A2E1-AF0C6F2F6F9E}">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2" authorId="33" shapeId="0" xr:uid="{BFA184C0-B438-479C-AC15-00133FD97F60}">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3" authorId="34" shapeId="0" xr:uid="{9A1B3889-875E-4E22-8AC2-83162944483F}">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5" authorId="35" shapeId="0" xr:uid="{8109FE9C-256E-4AD6-AF51-531304A000A7}">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6" authorId="36" shapeId="0" xr:uid="{65E306E7-49AC-4AC2-8774-773687C84CEE}">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77" authorId="37" shapeId="0" xr:uid="{B0742EB2-5819-40A0-B1B5-CFD25CEBD7D2}">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78" authorId="38" shapeId="0" xr:uid="{E880061F-FB63-4D1E-AEE5-99D5F525CE98}">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2" authorId="39" shapeId="0" xr:uid="{B7BF8E43-C473-47A2-949D-61A0A7F89FF0}">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3" authorId="40" shapeId="0" xr:uid="{B2D4BF83-CDE6-41C9-A9CB-EE1F669A94E8}">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 ref="I184" authorId="41" shapeId="0" xr:uid="{E88507BF-6EE6-4DC0-BE74-05C930B1877D}">
      <text>
        <t>[Threaded comment]
Your version of Excel allows you to read this threaded comment; however, any edits to it will get removed if the file is opened in a newer version of Excel. Learn more: https://go.microsoft.com/fwlink/?linkid=870924
Comment:
    Unable to cover Sub Loan interest because of the Short CP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tc={F50755E1-2B3F-4EE3-806C-12C25E558084}</author>
  </authors>
  <commentList>
    <comment ref="J37" authorId="0" shapeId="0" xr:uid="{F50755E1-2B3F-4EE3-806C-12C25E558084}">
      <text>
        <t>[Threaded comment]
Your version of Excel allows you to read this threaded comment; however, any edits to it will get removed if the file is opened in a newer version of Excel. Learn more: https://go.microsoft.com/fwlink/?linkid=870924
Comment:
    Add proceeds from Marvin Court</t>
      </text>
    </comment>
  </commentList>
</comments>
</file>

<file path=xl/sharedStrings.xml><?xml version="1.0" encoding="utf-8"?>
<sst xmlns="http://schemas.openxmlformats.org/spreadsheetml/2006/main" count="374" uniqueCount="325">
  <si>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</si>
  <si>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</si>
  <si>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</si>
  <si>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</si>
  <si>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</si>
  <si>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</si>
  <si>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</si>
  <si>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</si>
  <si>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</si>
  <si>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</si>
  <si>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</si>
  <si>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</si>
  <si>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</si>
  <si>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</si>
  <si>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</si>
  <si>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</si>
  <si>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</si>
  <si>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</si>
  <si>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</si>
  <si>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</si>
  <si>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</si>
  <si>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A2</t>
  </si>
  <si>
    <t>Class B</t>
  </si>
  <si>
    <t>Class C</t>
  </si>
  <si>
    <t>ISIN Code</t>
  </si>
  <si>
    <t>ZAG000175001</t>
  </si>
  <si>
    <t>ZAG000175019</t>
  </si>
  <si>
    <t>ZAG000175035</t>
  </si>
  <si>
    <t>ZAG000175043</t>
  </si>
  <si>
    <t>JSE Listing Code</t>
  </si>
  <si>
    <t>UU1A1</t>
  </si>
  <si>
    <t>UU1A2</t>
  </si>
  <si>
    <t>UU1B1</t>
  </si>
  <si>
    <t>UU1B2</t>
  </si>
  <si>
    <t>Rate type</t>
  </si>
  <si>
    <t>Floating</t>
  </si>
  <si>
    <t xml:space="preserve">Margin for Interest Rate </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</si>
  <si>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</si>
  <si>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</si>
  <si>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</si>
  <si>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</si>
  <si>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</si>
  <si>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</si>
  <si>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</si>
  <si>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</si>
  <si>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</si>
  <si>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</si>
  <si>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</si>
  <si>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</si>
  <si>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</si>
  <si>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</si>
  <si>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</si>
  <si>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</si>
  <si>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</si>
  <si>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</si>
  <si>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</si>
  <si>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</si>
  <si>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</si>
  <si>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Rating on IPD</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</si>
  <si>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</si>
  <si>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</si>
  <si>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</si>
  <si>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</si>
  <si>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</si>
  <si>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</si>
  <si>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</si>
  <si>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</si>
  <si>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</si>
  <si>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</si>
  <si>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</si>
  <si>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</si>
  <si>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</si>
  <si>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</si>
  <si>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</si>
  <si>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</si>
  <si>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</si>
  <si>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</si>
  <si>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</si>
  <si>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</si>
  <si>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</si>
  <si>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</si>
  <si>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</si>
  <si>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</si>
  <si>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</si>
  <si>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</si>
  <si>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</si>
  <si>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</si>
  <si>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</si>
  <si>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</si>
  <si>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</si>
  <si>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</si>
  <si>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</si>
  <si>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</si>
  <si>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</si>
  <si>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</si>
  <si>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</si>
  <si>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</si>
  <si>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</si>
  <si>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</si>
  <si>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</si>
  <si>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</si>
  <si>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</si>
  <si>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</si>
  <si>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</si>
  <si>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</si>
  <si>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</si>
  <si>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</si>
  <si>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</si>
  <si>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</si>
  <si>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</si>
  <si>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</si>
  <si>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</si>
  <si>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</si>
  <si>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</si>
  <si>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</si>
  <si>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</si>
  <si>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</si>
  <si>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</si>
  <si>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</si>
  <si>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</si>
  <si>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</si>
  <si>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</si>
  <si>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</si>
  <si>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</si>
  <si>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</si>
  <si>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</si>
  <si>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A2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</si>
  <si>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</si>
  <si>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</si>
  <si>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</si>
  <si>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</si>
  <si>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</si>
  <si>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</si>
  <si>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</si>
  <si>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</si>
  <si>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</si>
  <si>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</si>
  <si>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</si>
  <si>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</si>
  <si>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</si>
  <si>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</si>
  <si>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</si>
  <si>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</si>
  <si>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</si>
  <si>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</si>
  <si>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</si>
  <si>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</si>
  <si>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</si>
  <si>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</si>
  <si>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</si>
  <si>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</si>
  <si>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</si>
  <si>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</si>
  <si>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</si>
  <si>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 xml:space="preserve">1.5 Derivative Termination Amounts </t>
  </si>
  <si>
    <t>1.6 Liquidity Facility (not applicable)</t>
  </si>
  <si>
    <t>1.7 pari passu and pro rata (other than principal)</t>
  </si>
  <si>
    <t xml:space="preserve">6.1. Class A1 </t>
  </si>
  <si>
    <t>6.2. Class A2</t>
  </si>
  <si>
    <t>6.3. Class A3</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</si>
  <si>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</si>
  <si>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</si>
  <si>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</si>
  <si>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</si>
  <si>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</si>
  <si>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</si>
  <si>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</si>
  <si>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</si>
  <si>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A3</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</si>
  <si>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</si>
  <si>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</si>
  <si>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</si>
  <si>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</si>
  <si>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</si>
  <si>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</si>
  <si>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</si>
  <si>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</si>
  <si>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</si>
  <si>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</si>
  <si>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</si>
  <si>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</si>
  <si>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</si>
  <si>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</si>
  <si>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</si>
  <si>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</si>
  <si>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</si>
  <si>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</si>
  <si>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</si>
  <si>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</si>
  <si>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</si>
  <si>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</si>
  <si>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</si>
  <si>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</si>
  <si>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</si>
  <si>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</si>
  <si>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</si>
  <si>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</si>
  <si>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</si>
  <si>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</si>
  <si>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</si>
  <si>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</si>
  <si>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</si>
  <si>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</si>
  <si>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</si>
  <si>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</si>
  <si>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</si>
  <si>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</si>
  <si>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</si>
  <si>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</si>
  <si>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</si>
  <si>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</si>
  <si>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</si>
  <si>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</si>
  <si>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</si>
  <si>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</si>
  <si>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</si>
  <si>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</si>
  <si>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</si>
  <si>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</si>
  <si>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</si>
  <si>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</si>
  <si>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</si>
  <si>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</si>
  <si>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</si>
  <si>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</si>
  <si>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</si>
  <si>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</si>
  <si>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</si>
  <si>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</si>
  <si>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N/A</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</si>
  <si>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</si>
  <si>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</si>
  <si>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</si>
  <si>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</si>
  <si>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</si>
  <si>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</si>
  <si>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</si>
  <si>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</si>
  <si>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</si>
  <si>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</si>
  <si>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</si>
  <si>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</si>
  <si>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</si>
  <si>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</si>
  <si>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</si>
  <si>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</si>
  <si>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</si>
  <si>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</si>
  <si>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</si>
  <si>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</si>
  <si>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</si>
  <si>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</si>
  <si>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</si>
  <si>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</si>
  <si>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</si>
  <si>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</si>
  <si>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</si>
  <si>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</si>
  <si>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</si>
  <si>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</si>
  <si>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</si>
  <si>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Ordinary Disposals</t>
  </si>
  <si>
    <t>Substitution Disposals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</si>
  <si>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</si>
  <si>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</si>
  <si>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</si>
  <si>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</si>
  <si>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</si>
  <si>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</si>
  <si>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</si>
  <si>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</si>
  <si>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</si>
  <si>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</si>
  <si>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</si>
  <si>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</si>
  <si>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</si>
  <si>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</si>
  <si>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</si>
  <si>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</si>
  <si>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</si>
  <si>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</si>
  <si>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</si>
  <si>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</si>
  <si>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</si>
  <si>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</si>
  <si>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</si>
  <si>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</si>
  <si>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</si>
  <si>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</si>
  <si>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</si>
  <si>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</si>
  <si>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</si>
  <si>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</si>
  <si>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</si>
  <si>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</si>
  <si>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</si>
  <si>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</si>
  <si>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</si>
  <si>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</si>
  <si>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</si>
  <si>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</si>
  <si>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</si>
  <si>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</si>
  <si>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</si>
  <si>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</si>
  <si>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</si>
  <si>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</si>
  <si>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</si>
  <si>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</si>
  <si>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</si>
  <si>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</si>
  <si>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</si>
  <si>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</si>
  <si>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</si>
  <si>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</si>
  <si>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</si>
  <si>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</si>
  <si>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</si>
  <si>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</si>
  <si>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</si>
  <si>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</si>
  <si>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AAA(za)(sf)</t>
  </si>
  <si>
    <t>AA+(za)(sf)</t>
  </si>
  <si>
    <t>A-(za)(sf)</t>
  </si>
  <si>
    <t>BBB-(za)(sf)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</si>
</sst>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 #,##0_-;_-* &quot;-&quot;??_-;_-@_-"/>
    <numFmt numFmtId="166" formatCode="0.000%"/>
    <numFmt numFmtId="167" formatCode="_(* #,##0_);_(* \(#,##0\);_(* &quot;-&quot;??_);_(@_)"/>
  </numFmts>
  <fonts count="16">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b/>
      <u/>
      <sz val="11"/>
      <color theme="1"/>
      <name val="Calibri"/>
      <family val="2"/>
      <scheme val="minor"/>
    </font>
    <font>
      <i/>
      <sz val="11"/>
      <name val="Calibri"/>
      <family val="2"/>
      <scheme val="minor"/>
    </font>
    <font>
      <u/>
      <sz val="11"/>
      <color theme="1"/>
      <name val="Calibri (Body)"/>
    </font>
    <font>
      <b/>
      <i/>
      <sz val="11"/>
      <color theme="1"/>
      <name val="Calibri"/>
      <family val="2"/>
      <scheme val="minor"/>
    </font>
    <font>
      <b/>
      <i/>
      <sz val="11"/>
      <name val="Calibri"/>
      <family val="2"/>
      <scheme val="minor"/>
    </font>
    <font>
      <i/>
      <sz val="11"/>
      <color rgb="FFFF0000"/>
      <name val="Calibri"/>
      <family val="2"/>
      <scheme val="minor"/>
    </font>
    <font>
      <sz val="11"/>
      <name val="Calibri"/>
      <family val="2"/>
      <scheme val="minor"/>
    </font>
    <font>
      <sz val="11"/>
      <color theme="1"/>
      <name val="Calibri"/>
      <family val="2"/>
    </font>
    <font>
      <b/>
      <sz val="11"/>
      <color theme="1"/>
      <name val="Calibri"/>
      <family val="2"/>
    </font>
    <font>
      <sz val="11"/>
      <color rgb="FFFF0000"/>
      <name val="Calibri"/>
      <family val="2"/>
      <scheme val="minor"/>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36">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xf numFmtId="0" fontId="2" fillId="5" borderId="12" xfId="0" applyFont="1" applyFill="1" applyBorder="1"/>
    <xf numFmtId="0" fontId="2" fillId="5" borderId="13" xfId="0" applyFont="1" applyFill="1" applyBorder="1"/>
    <xf numFmtId="0" fontId="2" fillId="5" borderId="14" xfId="0" applyFont="1" applyFill="1" applyBorder="1"/>
    <xf numFmtId="0" fontId="2" fillId="5" borderId="17" xfId="0" applyFont="1" applyFill="1" applyBorder="1"/>
    <xf numFmtId="0" fontId="2" fillId="5" borderId="18" xfId="0" applyFont="1" applyFill="1" applyBorder="1"/>
    <xf numFmtId="0" fontId="2" fillId="5" borderId="19" xfId="0" applyFont="1" applyFill="1" applyBorder="1"/>
    <xf numFmtId="0" fontId="2" fillId="5" borderId="25" xfId="0" applyFont="1" applyFill="1" applyBorder="1"/>
    <xf numFmtId="0" fontId="2" fillId="5" borderId="27" xfId="0" applyFont="1" applyFill="1" applyBorder="1"/>
    <xf numFmtId="0" fontId="2" fillId="5" borderId="17" xfId="0" applyFont="1" applyFill="1" applyBorder="1" applyAlignment="1">
      <alignment horizontal="left" vertical="center"/>
    </xf>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0" fontId="2" fillId="5" borderId="29" xfId="0" applyFont="1" applyFill="1" applyBorder="1"/>
    <xf numFmtId="0" fontId="2" fillId="5" borderId="30" xfId="0" applyFont="1" applyFill="1" applyBorder="1"/>
    <xf numFmtId="0" fontId="2" fillId="5" borderId="31" xfId="0" applyFont="1" applyFill="1" applyBorder="1"/>
    <xf numFmtId="0" fontId="2" fillId="5" borderId="18" xfId="0" applyFont="1" applyFill="1" applyBorder="1" applyAlignment="1">
      <alignment horizontal="left" vertical="center"/>
    </xf>
    <xf numFmtId="0" fontId="2" fillId="5" borderId="29" xfId="0" applyFont="1" applyFill="1" applyBorder="1" applyAlignment="1">
      <alignment horizontal="left" vertical="center"/>
    </xf>
    <xf numFmtId="0" fontId="2" fillId="5" borderId="6" xfId="0" applyFont="1" applyFill="1" applyBorder="1"/>
    <xf numFmtId="0" fontId="2" fillId="5" borderId="7" xfId="0" applyFont="1" applyFill="1" applyBorder="1"/>
    <xf numFmtId="0" fontId="0" fillId="5" borderId="28" xfId="0" applyFill="1" applyBorder="1"/>
    <xf numFmtId="0" fontId="2" fillId="5" borderId="4" xfId="0" applyFont="1" applyFill="1" applyBorder="1"/>
    <xf numFmtId="0" fontId="0" fillId="5" borderId="0" xfId="0" applyFill="1"/>
    <xf numFmtId="0" fontId="0" fillId="5" borderId="29" xfId="0" applyFill="1" applyBorder="1" applyAlignment="1">
      <alignment horizontal="left" indent="1"/>
    </xf>
    <xf numFmtId="0" fontId="0" fillId="5" borderId="4" xfId="0" applyFill="1" applyBorder="1" applyAlignment="1">
      <alignment horizontal="left" indent="1"/>
    </xf>
    <xf numFmtId="0" fontId="2" fillId="5" borderId="35" xfId="0" applyFont="1" applyFill="1" applyBorder="1"/>
    <xf numFmtId="0" fontId="0" fillId="5" borderId="36" xfId="0" applyFill="1" applyBorder="1"/>
    <xf numFmtId="0" fontId="2" fillId="5" borderId="22" xfId="0" applyFont="1" applyFill="1" applyBorder="1"/>
    <xf numFmtId="0" fontId="0" fillId="5" borderId="23" xfId="0" applyFill="1" applyBorder="1"/>
    <xf numFmtId="0" fontId="0" fillId="5" borderId="24" xfId="0" applyFill="1" applyBorder="1"/>
    <xf numFmtId="0" fontId="0" fillId="5" borderId="30" xfId="0" applyFill="1" applyBorder="1"/>
    <xf numFmtId="165" fontId="1" fillId="3" borderId="5" xfId="1" applyNumberFormat="1" applyFont="1" applyFill="1" applyBorder="1" applyAlignment="1"/>
    <xf numFmtId="0" fontId="0" fillId="5" borderId="26" xfId="0" applyFill="1" applyBorder="1"/>
    <xf numFmtId="0" fontId="0" fillId="5" borderId="17" xfId="0" applyFill="1" applyBorder="1" applyAlignment="1">
      <alignment horizontal="left" indent="1"/>
    </xf>
    <xf numFmtId="0" fontId="0" fillId="5" borderId="18" xfId="0" applyFill="1" applyBorder="1"/>
    <xf numFmtId="0" fontId="0" fillId="5" borderId="19" xfId="0" applyFill="1" applyBorder="1"/>
    <xf numFmtId="165" fontId="0" fillId="3" borderId="5" xfId="1" applyNumberFormat="1" applyFont="1" applyFill="1" applyBorder="1" applyAlignment="1"/>
    <xf numFmtId="0" fontId="0" fillId="5" borderId="4" xfId="0" applyFill="1" applyBorder="1" applyAlignment="1">
      <alignment horizontal="left" indent="2"/>
    </xf>
    <xf numFmtId="165" fontId="0" fillId="3" borderId="0" xfId="1" applyNumberFormat="1" applyFont="1" applyFill="1" applyBorder="1" applyAlignment="1">
      <alignment horizontal="right"/>
    </xf>
    <xf numFmtId="165" fontId="0" fillId="3" borderId="43" xfId="1" applyNumberFormat="1" applyFont="1" applyFill="1" applyBorder="1" applyAlignment="1"/>
    <xf numFmtId="0" fontId="2" fillId="5" borderId="22" xfId="0" applyFont="1" applyFill="1" applyBorder="1" applyAlignment="1">
      <alignment horizontal="left"/>
    </xf>
    <xf numFmtId="43" fontId="0" fillId="2" borderId="0" xfId="0" applyNumberFormat="1" applyFill="1"/>
    <xf numFmtId="165" fontId="1" fillId="3" borderId="5" xfId="1" applyNumberFormat="1" applyFont="1" applyFill="1" applyBorder="1" applyAlignment="1">
      <alignment horizontal="right"/>
    </xf>
    <xf numFmtId="165" fontId="1" fillId="3" borderId="0" xfId="1" applyNumberFormat="1" applyFont="1" applyFill="1" applyBorder="1" applyAlignment="1">
      <alignment horizontal="right"/>
    </xf>
    <xf numFmtId="165" fontId="1" fillId="3" borderId="0" xfId="1" applyNumberFormat="1" applyFont="1" applyFill="1" applyBorder="1" applyAlignment="1"/>
    <xf numFmtId="165" fontId="1" fillId="3" borderId="43" xfId="1" applyNumberFormat="1" applyFont="1" applyFill="1" applyBorder="1" applyAlignment="1">
      <alignment horizontal="right"/>
    </xf>
    <xf numFmtId="0" fontId="2" fillId="5" borderId="4" xfId="0" applyFont="1" applyFill="1" applyBorder="1" applyAlignment="1">
      <alignment horizontal="left"/>
    </xf>
    <xf numFmtId="4" fontId="0" fillId="2" borderId="0" xfId="0" applyNumberFormat="1" applyFill="1"/>
    <xf numFmtId="165" fontId="0" fillId="2" borderId="0" xfId="0" applyNumberFormat="1" applyFill="1"/>
    <xf numFmtId="0" fontId="0" fillId="5" borderId="6" xfId="0" applyFill="1" applyBorder="1" applyAlignment="1">
      <alignment horizontal="left" indent="1"/>
    </xf>
    <xf numFmtId="0" fontId="0" fillId="5" borderId="7" xfId="0" applyFill="1" applyBorder="1"/>
    <xf numFmtId="0" fontId="0" fillId="3" borderId="8" xfId="0" applyFill="1" applyBorder="1"/>
    <xf numFmtId="0" fontId="0" fillId="3" borderId="0" xfId="0" applyFill="1" applyAlignment="1">
      <alignment horizontal="left" indent="1"/>
    </xf>
    <xf numFmtId="0" fontId="6" fillId="5" borderId="23" xfId="0" applyFont="1" applyFill="1" applyBorder="1" applyAlignment="1">
      <alignment horizontal="center"/>
    </xf>
    <xf numFmtId="0" fontId="6" fillId="5" borderId="24" xfId="0" applyFont="1" applyFill="1" applyBorder="1" applyAlignment="1">
      <alignment horizontal="center"/>
    </xf>
    <xf numFmtId="165" fontId="0" fillId="3" borderId="5" xfId="0" applyNumberFormat="1" applyFill="1" applyBorder="1"/>
    <xf numFmtId="0" fontId="0" fillId="5" borderId="45" xfId="0" applyFill="1" applyBorder="1"/>
    <xf numFmtId="165" fontId="0" fillId="3" borderId="8" xfId="1" applyNumberFormat="1" applyFont="1" applyFill="1" applyBorder="1" applyAlignment="1"/>
    <xf numFmtId="164" fontId="0" fillId="3" borderId="0" xfId="1" applyFont="1" applyFill="1" applyBorder="1" applyAlignment="1">
      <alignment horizontal="right"/>
    </xf>
    <xf numFmtId="164" fontId="0" fillId="3" borderId="0" xfId="1" applyFont="1" applyFill="1" applyBorder="1" applyAlignment="1"/>
    <xf numFmtId="0" fontId="2" fillId="5" borderId="17" xfId="0" applyFont="1" applyFill="1" applyBorder="1" applyAlignment="1">
      <alignment horizontal="left"/>
    </xf>
    <xf numFmtId="0" fontId="2" fillId="5" borderId="29" xfId="0" applyFont="1" applyFill="1" applyBorder="1" applyAlignment="1">
      <alignment horizontal="left"/>
    </xf>
    <xf numFmtId="0" fontId="2" fillId="5" borderId="6" xfId="0" applyFont="1" applyFill="1" applyBorder="1" applyAlignment="1">
      <alignment horizontal="left"/>
    </xf>
    <xf numFmtId="0" fontId="2" fillId="5" borderId="45" xfId="0" applyFont="1" applyFill="1" applyBorder="1"/>
    <xf numFmtId="0" fontId="6" fillId="7" borderId="4" xfId="0" applyFont="1" applyFill="1" applyBorder="1" applyAlignment="1">
      <alignment horizontal="center"/>
    </xf>
    <xf numFmtId="0" fontId="6" fillId="7" borderId="0" xfId="0" applyFont="1" applyFill="1" applyAlignment="1">
      <alignment horizontal="center"/>
    </xf>
    <xf numFmtId="0" fontId="5" fillId="3" borderId="5" xfId="0" applyFont="1" applyFill="1" applyBorder="1"/>
    <xf numFmtId="0" fontId="0" fillId="5" borderId="22" xfId="0" applyFill="1" applyBorder="1" applyAlignment="1">
      <alignment horizontal="left" indent="1"/>
    </xf>
    <xf numFmtId="0" fontId="2" fillId="5" borderId="24" xfId="0" applyFont="1" applyFill="1" applyBorder="1" applyAlignment="1">
      <alignment horizontal="right"/>
    </xf>
    <xf numFmtId="0" fontId="2" fillId="3" borderId="41" xfId="0" applyFont="1" applyFill="1" applyBorder="1" applyAlignment="1">
      <alignment horizontal="right"/>
    </xf>
    <xf numFmtId="0" fontId="2" fillId="5" borderId="26" xfId="0" applyFont="1" applyFill="1" applyBorder="1" applyAlignment="1">
      <alignment horizontal="right"/>
    </xf>
    <xf numFmtId="0" fontId="0" fillId="3" borderId="0" xfId="0" applyFill="1" applyAlignment="1">
      <alignment horizontal="right"/>
    </xf>
    <xf numFmtId="0" fontId="2" fillId="3" borderId="5" xfId="0" applyFont="1" applyFill="1" applyBorder="1" applyAlignment="1">
      <alignment horizontal="right"/>
    </xf>
    <xf numFmtId="0" fontId="2" fillId="5" borderId="19" xfId="0" applyFont="1" applyFill="1" applyBorder="1" applyAlignment="1">
      <alignment horizontal="right"/>
    </xf>
    <xf numFmtId="0" fontId="2" fillId="5" borderId="45" xfId="0" applyFont="1" applyFill="1" applyBorder="1" applyAlignment="1">
      <alignment horizontal="right"/>
    </xf>
    <xf numFmtId="165" fontId="5" fillId="3" borderId="0" xfId="1" applyNumberFormat="1" applyFont="1" applyFill="1" applyBorder="1" applyAlignment="1">
      <alignment horizontal="center"/>
    </xf>
    <xf numFmtId="165" fontId="5" fillId="3" borderId="26" xfId="1" applyNumberFormat="1" applyFont="1" applyFill="1" applyBorder="1" applyAlignment="1">
      <alignment horizontal="center"/>
    </xf>
    <xf numFmtId="165" fontId="5" fillId="3" borderId="5" xfId="1" applyNumberFormat="1" applyFont="1" applyFill="1" applyBorder="1" applyAlignment="1">
      <alignment horizontal="center"/>
    </xf>
    <xf numFmtId="165" fontId="5" fillId="3" borderId="18" xfId="1" applyNumberFormat="1" applyFont="1" applyFill="1" applyBorder="1" applyAlignment="1">
      <alignment horizontal="center"/>
    </xf>
    <xf numFmtId="165" fontId="5" fillId="3" borderId="19" xfId="1" applyNumberFormat="1" applyFont="1" applyFill="1" applyBorder="1" applyAlignment="1">
      <alignment horizontal="center"/>
    </xf>
    <xf numFmtId="165" fontId="5" fillId="3" borderId="43" xfId="1" applyNumberFormat="1" applyFont="1" applyFill="1" applyBorder="1" applyAlignment="1">
      <alignment horizontal="center"/>
    </xf>
    <xf numFmtId="165" fontId="5" fillId="3" borderId="19" xfId="1" applyNumberFormat="1" applyFont="1" applyFill="1" applyBorder="1" applyAlignment="1">
      <alignment horizontal="right"/>
    </xf>
    <xf numFmtId="165" fontId="5" fillId="3" borderId="43" xfId="1" applyNumberFormat="1" applyFont="1" applyFill="1" applyBorder="1" applyAlignment="1">
      <alignment horizontal="right"/>
    </xf>
    <xf numFmtId="165" fontId="5" fillId="3" borderId="26" xfId="1" applyNumberFormat="1" applyFont="1" applyFill="1" applyBorder="1" applyAlignment="1">
      <alignment horizontal="right"/>
    </xf>
    <xf numFmtId="165" fontId="5" fillId="3" borderId="5" xfId="1" applyNumberFormat="1" applyFont="1" applyFill="1" applyBorder="1" applyAlignment="1">
      <alignment horizontal="right"/>
    </xf>
    <xf numFmtId="0" fontId="2" fillId="7" borderId="35" xfId="0" applyFont="1" applyFill="1" applyBorder="1" applyAlignment="1">
      <alignment horizontal="left"/>
    </xf>
    <xf numFmtId="0" fontId="0" fillId="7" borderId="36" xfId="0" applyFill="1" applyBorder="1"/>
    <xf numFmtId="0" fontId="0" fillId="7" borderId="38" xfId="0" applyFill="1" applyBorder="1"/>
    <xf numFmtId="0" fontId="6" fillId="5" borderId="28" xfId="0" applyFont="1" applyFill="1" applyBorder="1" applyAlignment="1">
      <alignment horizontal="center"/>
    </xf>
    <xf numFmtId="0" fontId="6" fillId="5" borderId="30" xfId="0" applyFont="1" applyFill="1" applyBorder="1" applyAlignment="1">
      <alignment horizontal="center"/>
    </xf>
    <xf numFmtId="0" fontId="2" fillId="5" borderId="35" xfId="0" applyFont="1" applyFill="1" applyBorder="1" applyAlignment="1">
      <alignment horizontal="left"/>
    </xf>
    <xf numFmtId="0" fontId="6" fillId="5" borderId="36" xfId="0" applyFont="1" applyFill="1" applyBorder="1" applyAlignment="1">
      <alignment horizontal="center"/>
    </xf>
    <xf numFmtId="0" fontId="6" fillId="5" borderId="38" xfId="0" applyFont="1" applyFill="1" applyBorder="1" applyAlignment="1">
      <alignment horizontal="center"/>
    </xf>
    <xf numFmtId="0" fontId="2" fillId="3" borderId="0" xfId="0" applyFont="1" applyFill="1" applyAlignment="1">
      <alignment horizontal="left"/>
    </xf>
    <xf numFmtId="0" fontId="6" fillId="3" borderId="0" xfId="0" applyFont="1" applyFill="1" applyAlignment="1">
      <alignment horizontal="center"/>
    </xf>
    <xf numFmtId="0" fontId="11" fillId="3" borderId="0" xfId="0" applyFont="1" applyFill="1" applyAlignment="1">
      <alignment horizontal="right"/>
    </xf>
    <xf numFmtId="0" fontId="2" fillId="5" borderId="23" xfId="0" applyFont="1" applyFill="1" applyBorder="1"/>
    <xf numFmtId="0" fontId="12" fillId="5" borderId="23" xfId="0" applyFont="1" applyFill="1" applyBorder="1"/>
    <xf numFmtId="0" fontId="12" fillId="5" borderId="24" xfId="0" applyFont="1" applyFill="1" applyBorder="1"/>
    <xf numFmtId="10" fontId="0" fillId="2" borderId="0" xfId="0" applyNumberFormat="1" applyFill="1"/>
    <xf numFmtId="0" fontId="6" fillId="5" borderId="7" xfId="0" applyFont="1" applyFill="1" applyBorder="1" applyAlignment="1">
      <alignment horizontal="center"/>
    </xf>
    <xf numFmtId="0" fontId="6" fillId="5" borderId="45" xfId="0" applyFont="1" applyFill="1" applyBorder="1" applyAlignment="1">
      <alignment horizontal="center"/>
    </xf>
    <xf numFmtId="0" fontId="0" fillId="3" borderId="6" xfId="0" applyFill="1" applyBorder="1"/>
    <xf numFmtId="0" fontId="0" fillId="3" borderId="7" xfId="0" applyFill="1" applyBorder="1"/>
    <xf numFmtId="0" fontId="2" fillId="5" borderId="4" xfId="0" applyFont="1" applyFill="1" applyBorder="1" applyAlignment="1">
      <alignment horizontal="left" vertical="center"/>
    </xf>
    <xf numFmtId="0" fontId="2" fillId="5" borderId="23" xfId="0" applyFont="1" applyFill="1" applyBorder="1" applyAlignment="1">
      <alignment horizontal="left" vertical="center"/>
    </xf>
    <xf numFmtId="0" fontId="2" fillId="5" borderId="36" xfId="0" applyFont="1" applyFill="1" applyBorder="1"/>
    <xf numFmtId="0" fontId="0" fillId="5" borderId="23" xfId="0" applyFill="1" applyBorder="1" applyAlignment="1">
      <alignment horizontal="center"/>
    </xf>
    <xf numFmtId="0" fontId="0" fillId="5" borderId="24" xfId="0" applyFill="1" applyBorder="1" applyAlignment="1">
      <alignment horizontal="center"/>
    </xf>
    <xf numFmtId="0" fontId="0" fillId="5" borderId="0" xfId="0" applyFill="1" applyAlignment="1">
      <alignment horizontal="center"/>
    </xf>
    <xf numFmtId="0" fontId="0" fillId="5" borderId="4" xfId="0" applyFill="1" applyBorder="1" applyAlignment="1">
      <alignment horizontal="left"/>
    </xf>
    <xf numFmtId="165" fontId="12" fillId="3" borderId="5" xfId="1" applyNumberFormat="1" applyFont="1" applyFill="1" applyBorder="1" applyAlignment="1">
      <alignment horizontal="center"/>
    </xf>
    <xf numFmtId="165" fontId="12" fillId="3" borderId="43" xfId="1" applyNumberFormat="1" applyFont="1" applyFill="1" applyBorder="1" applyAlignment="1">
      <alignment horizontal="center"/>
    </xf>
    <xf numFmtId="164" fontId="0" fillId="2" borderId="0" xfId="1" applyFont="1" applyFill="1"/>
    <xf numFmtId="0" fontId="0" fillId="5" borderId="28" xfId="0" applyFill="1" applyBorder="1" applyAlignment="1">
      <alignment horizontal="center"/>
    </xf>
    <xf numFmtId="0" fontId="0" fillId="5" borderId="26" xfId="0" applyFill="1" applyBorder="1" applyAlignment="1">
      <alignment horizontal="center"/>
    </xf>
    <xf numFmtId="165" fontId="0" fillId="3" borderId="5" xfId="1" applyNumberFormat="1" applyFont="1"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9" fontId="0" fillId="2" borderId="0" xfId="2" applyFont="1" applyFill="1"/>
    <xf numFmtId="0" fontId="0" fillId="5" borderId="30" xfId="0" applyFill="1" applyBorder="1" applyAlignment="1">
      <alignment horizontal="center"/>
    </xf>
    <xf numFmtId="165" fontId="7" fillId="3" borderId="5" xfId="1" applyNumberFormat="1" applyFont="1" applyFill="1" applyBorder="1" applyAlignment="1">
      <alignment horizontal="right"/>
    </xf>
    <xf numFmtId="0" fontId="0" fillId="5" borderId="17" xfId="0" applyFill="1" applyBorder="1" applyAlignment="1">
      <alignment horizontal="left"/>
    </xf>
    <xf numFmtId="165" fontId="7" fillId="3" borderId="43" xfId="1" applyNumberFormat="1" applyFont="1" applyFill="1" applyBorder="1" applyAlignment="1">
      <alignment horizontal="right"/>
    </xf>
    <xf numFmtId="0" fontId="2" fillId="5" borderId="36" xfId="0" applyFont="1" applyFill="1" applyBorder="1" applyAlignment="1">
      <alignment horizontal="center"/>
    </xf>
    <xf numFmtId="0" fontId="2" fillId="5" borderId="38" xfId="0" applyFont="1" applyFill="1" applyBorder="1" applyAlignment="1">
      <alignment horizontal="center"/>
    </xf>
    <xf numFmtId="0" fontId="0" fillId="3" borderId="0" xfId="0" applyFill="1" applyAlignment="1">
      <alignment horizontal="center"/>
    </xf>
    <xf numFmtId="0" fontId="6" fillId="5" borderId="29" xfId="0" applyFont="1" applyFill="1" applyBorder="1" applyAlignment="1">
      <alignment horizontal="left"/>
    </xf>
    <xf numFmtId="0" fontId="2" fillId="5" borderId="28" xfId="0" applyFont="1" applyFill="1" applyBorder="1" applyAlignment="1">
      <alignment horizontal="center"/>
    </xf>
    <xf numFmtId="0" fontId="2" fillId="5" borderId="23" xfId="0" applyFont="1" applyFill="1" applyBorder="1" applyAlignment="1">
      <alignment horizontal="center"/>
    </xf>
    <xf numFmtId="0" fontId="2" fillId="5" borderId="0" xfId="0" applyFont="1" applyFill="1" applyAlignment="1">
      <alignment horizontal="center"/>
    </xf>
    <xf numFmtId="165" fontId="12" fillId="3" borderId="26" xfId="1" applyNumberFormat="1" applyFont="1" applyFill="1" applyBorder="1" applyAlignment="1">
      <alignment horizontal="center"/>
    </xf>
    <xf numFmtId="0" fontId="13" fillId="5" borderId="4" xfId="0" applyFont="1" applyFill="1" applyBorder="1" applyAlignment="1">
      <alignment horizontal="left" indent="1"/>
    </xf>
    <xf numFmtId="0" fontId="13" fillId="5" borderId="17" xfId="0" applyFont="1" applyFill="1" applyBorder="1" applyAlignment="1">
      <alignment horizontal="left" indent="1"/>
    </xf>
    <xf numFmtId="0" fontId="2" fillId="5" borderId="18" xfId="0" applyFont="1" applyFill="1" applyBorder="1" applyAlignment="1">
      <alignment horizontal="center"/>
    </xf>
    <xf numFmtId="165" fontId="12" fillId="3" borderId="19" xfId="1" applyNumberFormat="1" applyFont="1" applyFill="1" applyBorder="1" applyAlignment="1">
      <alignment horizontal="center"/>
    </xf>
    <xf numFmtId="0" fontId="14" fillId="5" borderId="22" xfId="0" applyFont="1" applyFill="1" applyBorder="1" applyAlignment="1">
      <alignment horizontal="left"/>
    </xf>
    <xf numFmtId="0" fontId="2" fillId="5" borderId="7" xfId="0" applyFont="1" applyFill="1" applyBorder="1" applyAlignment="1">
      <alignment horizontal="center"/>
    </xf>
    <xf numFmtId="0" fontId="0" fillId="5" borderId="29" xfId="0" applyFill="1" applyBorder="1" applyAlignment="1">
      <alignment horizontal="center"/>
    </xf>
    <xf numFmtId="0" fontId="2" fillId="5" borderId="30" xfId="0" applyFont="1" applyFill="1" applyBorder="1" applyAlignment="1">
      <alignment horizontal="center"/>
    </xf>
    <xf numFmtId="0" fontId="2" fillId="5" borderId="25" xfId="0" applyFont="1" applyFill="1" applyBorder="1" applyAlignment="1">
      <alignment horizontal="left"/>
    </xf>
    <xf numFmtId="0" fontId="0" fillId="5" borderId="42" xfId="0" applyFill="1" applyBorder="1" applyAlignment="1">
      <alignment horizontal="left"/>
    </xf>
    <xf numFmtId="165" fontId="15" fillId="2" borderId="0" xfId="0" applyNumberFormat="1" applyFont="1" applyFill="1"/>
    <xf numFmtId="165" fontId="0" fillId="2" borderId="0" xfId="1" applyNumberFormat="1" applyFont="1" applyFill="1"/>
    <xf numFmtId="167" fontId="0" fillId="2" borderId="0" xfId="0" applyNumberFormat="1" applyFill="1"/>
    <xf numFmtId="167" fontId="7" fillId="3" borderId="37" xfId="0" applyNumberFormat="1" applyFont="1" applyFill="1" applyBorder="1" applyAlignment="1">
      <alignment horizontal="right"/>
    </xf>
    <xf numFmtId="167" fontId="7" fillId="3" borderId="36" xfId="0" applyNumberFormat="1" applyFont="1" applyFill="1" applyBorder="1" applyAlignment="1">
      <alignment horizontal="right"/>
    </xf>
    <xf numFmtId="167" fontId="7" fillId="3" borderId="39" xfId="0" applyNumberFormat="1" applyFont="1" applyFill="1" applyBorder="1" applyAlignment="1">
      <alignment horizontal="right"/>
    </xf>
    <xf numFmtId="167" fontId="7" fillId="3" borderId="23" xfId="0" applyNumberFormat="1" applyFont="1" applyFill="1" applyBorder="1" applyAlignment="1">
      <alignment horizontal="right"/>
    </xf>
    <xf numFmtId="167" fontId="7" fillId="3" borderId="41" xfId="0" applyNumberFormat="1" applyFont="1" applyFill="1" applyBorder="1" applyAlignment="1">
      <alignment horizontal="right"/>
    </xf>
    <xf numFmtId="167" fontId="7" fillId="3" borderId="25" xfId="0" applyNumberFormat="1" applyFont="1" applyFill="1" applyBorder="1" applyAlignment="1">
      <alignment horizontal="right"/>
    </xf>
    <xf numFmtId="167" fontId="7" fillId="3" borderId="28" xfId="0" applyNumberFormat="1" applyFont="1" applyFill="1" applyBorder="1" applyAlignment="1">
      <alignment horizontal="right"/>
    </xf>
    <xf numFmtId="167" fontId="7" fillId="3" borderId="34" xfId="0" applyNumberFormat="1" applyFont="1" applyFill="1" applyBorder="1" applyAlignment="1">
      <alignment horizontal="right"/>
    </xf>
    <xf numFmtId="0" fontId="5" fillId="3" borderId="31" xfId="0" applyFont="1" applyFill="1" applyBorder="1" applyAlignment="1">
      <alignment horizontal="center"/>
    </xf>
    <xf numFmtId="0" fontId="5" fillId="3" borderId="19" xfId="0" applyFont="1" applyFill="1" applyBorder="1" applyAlignment="1">
      <alignment horizontal="center"/>
    </xf>
    <xf numFmtId="0" fontId="7" fillId="3" borderId="31" xfId="0" applyFont="1" applyFill="1" applyBorder="1" applyAlignment="1">
      <alignment horizontal="center"/>
    </xf>
    <xf numFmtId="0" fontId="7" fillId="3" borderId="19" xfId="0" applyFont="1" applyFill="1" applyBorder="1" applyAlignment="1">
      <alignment horizontal="center"/>
    </xf>
    <xf numFmtId="167" fontId="7" fillId="3" borderId="31" xfId="1" applyNumberFormat="1" applyFont="1" applyFill="1" applyBorder="1" applyAlignment="1">
      <alignment horizontal="right"/>
    </xf>
    <xf numFmtId="167" fontId="7" fillId="3" borderId="18" xfId="1" applyNumberFormat="1" applyFont="1" applyFill="1" applyBorder="1" applyAlignment="1">
      <alignment horizontal="right"/>
    </xf>
    <xf numFmtId="167" fontId="7" fillId="3" borderId="19" xfId="1" applyNumberFormat="1" applyFont="1" applyFill="1" applyBorder="1" applyAlignment="1">
      <alignment horizontal="right"/>
    </xf>
    <xf numFmtId="167" fontId="7" fillId="3" borderId="42" xfId="0" applyNumberFormat="1" applyFont="1" applyFill="1" applyBorder="1" applyAlignment="1">
      <alignment horizontal="right"/>
    </xf>
    <xf numFmtId="167" fontId="7" fillId="3" borderId="0" xfId="0" applyNumberFormat="1" applyFont="1" applyFill="1" applyAlignment="1">
      <alignment horizontal="right"/>
    </xf>
    <xf numFmtId="167" fontId="7" fillId="3" borderId="5" xfId="0" applyNumberFormat="1" applyFont="1" applyFill="1" applyBorder="1" applyAlignment="1">
      <alignment horizontal="right"/>
    </xf>
    <xf numFmtId="0" fontId="2" fillId="5" borderId="28" xfId="0" applyFont="1" applyFill="1" applyBorder="1" applyAlignment="1">
      <alignment horizontal="center"/>
    </xf>
    <xf numFmtId="16" fontId="5" fillId="3" borderId="42" xfId="0" applyNumberFormat="1" applyFont="1" applyFill="1" applyBorder="1" applyAlignment="1">
      <alignment horizontal="center"/>
    </xf>
    <xf numFmtId="0" fontId="5" fillId="3" borderId="26" xfId="0" applyFont="1" applyFill="1" applyBorder="1" applyAlignment="1">
      <alignment horizontal="center"/>
    </xf>
    <xf numFmtId="10" fontId="7" fillId="3" borderId="42" xfId="0" applyNumberFormat="1" applyFont="1" applyFill="1" applyBorder="1" applyAlignment="1">
      <alignment horizontal="center"/>
    </xf>
    <xf numFmtId="0" fontId="7" fillId="3" borderId="26" xfId="0" applyFont="1" applyFill="1" applyBorder="1" applyAlignment="1">
      <alignment horizontal="center"/>
    </xf>
    <xf numFmtId="167" fontId="7" fillId="3" borderId="42" xfId="1" applyNumberFormat="1" applyFont="1" applyFill="1" applyBorder="1" applyAlignment="1">
      <alignment horizontal="right"/>
    </xf>
    <xf numFmtId="167" fontId="7" fillId="3" borderId="0" xfId="1" applyNumberFormat="1" applyFont="1" applyFill="1" applyBorder="1" applyAlignment="1">
      <alignment horizontal="right"/>
    </xf>
    <xf numFmtId="167" fontId="7" fillId="3" borderId="26" xfId="1" applyNumberFormat="1" applyFont="1" applyFill="1" applyBorder="1" applyAlignment="1">
      <alignment horizontal="right"/>
    </xf>
    <xf numFmtId="14" fontId="5" fillId="3" borderId="25" xfId="0" applyNumberFormat="1" applyFont="1" applyFill="1" applyBorder="1" applyAlignment="1">
      <alignment horizontal="center"/>
    </xf>
    <xf numFmtId="14" fontId="5" fillId="3" borderId="30" xfId="0" applyNumberFormat="1" applyFont="1" applyFill="1" applyBorder="1" applyAlignment="1">
      <alignment horizontal="center"/>
    </xf>
    <xf numFmtId="10" fontId="5" fillId="3" borderId="25" xfId="0" applyNumberFormat="1" applyFont="1" applyFill="1" applyBorder="1" applyAlignment="1">
      <alignment horizontal="center"/>
    </xf>
    <xf numFmtId="0" fontId="5" fillId="3" borderId="30" xfId="0" applyFont="1" applyFill="1" applyBorder="1" applyAlignment="1">
      <alignment horizontal="center"/>
    </xf>
    <xf numFmtId="167" fontId="7" fillId="3" borderId="30" xfId="0" applyNumberFormat="1" applyFont="1" applyFill="1" applyBorder="1" applyAlignment="1">
      <alignment horizontal="right"/>
    </xf>
    <xf numFmtId="0" fontId="2" fillId="8" borderId="27" xfId="0" applyFont="1" applyFill="1" applyBorder="1" applyAlignment="1">
      <alignment horizontal="center"/>
    </xf>
    <xf numFmtId="0" fontId="2" fillId="8" borderId="24" xfId="0" applyFont="1" applyFill="1" applyBorder="1" applyAlignment="1">
      <alignment horizontal="center"/>
    </xf>
    <xf numFmtId="0" fontId="12" fillId="8" borderId="27" xfId="0" applyFont="1" applyFill="1" applyBorder="1" applyAlignment="1">
      <alignment horizontal="center"/>
    </xf>
    <xf numFmtId="0" fontId="12" fillId="8" borderId="24" xfId="0" applyFont="1" applyFill="1" applyBorder="1" applyAlignment="1">
      <alignment horizontal="center"/>
    </xf>
    <xf numFmtId="167" fontId="7" fillId="8" borderId="27" xfId="1" applyNumberFormat="1" applyFont="1" applyFill="1" applyBorder="1" applyAlignment="1">
      <alignment horizontal="right"/>
    </xf>
    <xf numFmtId="167" fontId="7" fillId="8" borderId="23" xfId="1" applyNumberFormat="1" applyFont="1" applyFill="1" applyBorder="1" applyAlignment="1">
      <alignment horizontal="right"/>
    </xf>
    <xf numFmtId="167" fontId="7" fillId="8" borderId="24" xfId="1" applyNumberFormat="1" applyFont="1" applyFill="1" applyBorder="1" applyAlignment="1">
      <alignment horizontal="right"/>
    </xf>
    <xf numFmtId="167" fontId="7" fillId="8" borderId="27" xfId="0" applyNumberFormat="1" applyFont="1" applyFill="1" applyBorder="1" applyAlignment="1">
      <alignment horizontal="right"/>
    </xf>
    <xf numFmtId="167" fontId="7" fillId="8" borderId="23" xfId="0" applyNumberFormat="1" applyFont="1" applyFill="1" applyBorder="1" applyAlignment="1">
      <alignment horizontal="right"/>
    </xf>
    <xf numFmtId="167" fontId="7" fillId="8" borderId="41" xfId="0" applyNumberFormat="1" applyFont="1" applyFill="1" applyBorder="1" applyAlignment="1">
      <alignment horizontal="right"/>
    </xf>
    <xf numFmtId="0" fontId="6" fillId="6" borderId="1" xfId="0" applyFont="1" applyFill="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10" fontId="7" fillId="3" borderId="25" xfId="0" applyNumberFormat="1" applyFont="1" applyFill="1" applyBorder="1" applyAlignment="1">
      <alignment horizontal="center" vertical="center"/>
    </xf>
    <xf numFmtId="10" fontId="7" fillId="3" borderId="28" xfId="0" applyNumberFormat="1" applyFont="1" applyFill="1" applyBorder="1" applyAlignment="1">
      <alignment horizontal="center" vertical="center"/>
    </xf>
    <xf numFmtId="10" fontId="7" fillId="3" borderId="34" xfId="0" applyNumberFormat="1" applyFont="1" applyFill="1" applyBorder="1" applyAlignment="1">
      <alignment horizontal="center" vertical="center"/>
    </xf>
    <xf numFmtId="0" fontId="2" fillId="5" borderId="28"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25" xfId="0" applyFont="1" applyFill="1" applyBorder="1" applyAlignment="1">
      <alignment horizontal="center"/>
    </xf>
    <xf numFmtId="0" fontId="2" fillId="5" borderId="30" xfId="0" applyFont="1" applyFill="1" applyBorder="1" applyAlignment="1">
      <alignment horizontal="center"/>
    </xf>
    <xf numFmtId="0" fontId="2" fillId="5" borderId="20" xfId="0" applyFont="1" applyFill="1" applyBorder="1" applyAlignment="1">
      <alignment horizontal="center"/>
    </xf>
    <xf numFmtId="0" fontId="2" fillId="5" borderId="21" xfId="0" applyFont="1" applyFill="1" applyBorder="1" applyAlignment="1">
      <alignment horizontal="center"/>
    </xf>
    <xf numFmtId="167" fontId="5" fillId="3" borderId="25" xfId="1" applyNumberFormat="1" applyFont="1" applyFill="1" applyBorder="1" applyAlignment="1">
      <alignment horizontal="right"/>
    </xf>
    <xf numFmtId="167" fontId="5" fillId="3" borderId="28" xfId="1" applyNumberFormat="1" applyFont="1" applyFill="1" applyBorder="1" applyAlignment="1">
      <alignment horizontal="right"/>
    </xf>
    <xf numFmtId="167" fontId="5" fillId="3" borderId="34" xfId="1" applyNumberFormat="1" applyFont="1" applyFill="1" applyBorder="1" applyAlignment="1">
      <alignment horizontal="right"/>
    </xf>
    <xf numFmtId="165" fontId="5" fillId="3" borderId="25" xfId="1" applyNumberFormat="1" applyFont="1" applyFill="1" applyBorder="1" applyAlignment="1">
      <alignment horizontal="right"/>
    </xf>
    <xf numFmtId="165" fontId="5" fillId="3" borderId="28" xfId="1" applyNumberFormat="1" applyFont="1" applyFill="1" applyBorder="1" applyAlignment="1">
      <alignment horizontal="right"/>
    </xf>
    <xf numFmtId="165" fontId="5" fillId="3" borderId="34" xfId="1" applyNumberFormat="1" applyFont="1" applyFill="1" applyBorder="1" applyAlignment="1">
      <alignment horizontal="right"/>
    </xf>
    <xf numFmtId="164" fontId="5" fillId="3" borderId="25" xfId="1" applyFont="1" applyFill="1" applyBorder="1" applyAlignment="1">
      <alignment horizontal="right"/>
    </xf>
    <xf numFmtId="164" fontId="5" fillId="3" borderId="28" xfId="1" applyFont="1" applyFill="1" applyBorder="1" applyAlignment="1">
      <alignment horizontal="right"/>
    </xf>
    <xf numFmtId="164" fontId="5" fillId="3" borderId="34" xfId="1" applyFont="1" applyFill="1" applyBorder="1" applyAlignment="1">
      <alignment horizontal="right"/>
    </xf>
    <xf numFmtId="165" fontId="5" fillId="3" borderId="37" xfId="1" applyNumberFormat="1" applyFont="1" applyFill="1" applyBorder="1" applyAlignment="1">
      <alignment horizontal="right"/>
    </xf>
    <xf numFmtId="165" fontId="5" fillId="3" borderId="36" xfId="1" applyNumberFormat="1" applyFont="1" applyFill="1" applyBorder="1" applyAlignment="1">
      <alignment horizontal="right"/>
    </xf>
    <xf numFmtId="165" fontId="5" fillId="3" borderId="39" xfId="1" applyNumberFormat="1" applyFont="1" applyFill="1" applyBorder="1" applyAlignment="1">
      <alignment horizontal="right"/>
    </xf>
    <xf numFmtId="165" fontId="5" fillId="3" borderId="44" xfId="1" applyNumberFormat="1" applyFont="1" applyFill="1" applyBorder="1" applyAlignment="1">
      <alignment horizontal="right"/>
    </xf>
    <xf numFmtId="165" fontId="5" fillId="3" borderId="7" xfId="1" applyNumberFormat="1" applyFont="1" applyFill="1" applyBorder="1" applyAlignment="1">
      <alignment horizontal="right"/>
    </xf>
    <xf numFmtId="165" fontId="5" fillId="3" borderId="8" xfId="1" applyNumberFormat="1" applyFont="1" applyFill="1" applyBorder="1" applyAlignment="1">
      <alignment horizontal="right"/>
    </xf>
    <xf numFmtId="165" fontId="10" fillId="7" borderId="37" xfId="1" applyNumberFormat="1" applyFont="1" applyFill="1" applyBorder="1" applyAlignment="1">
      <alignment horizontal="right"/>
    </xf>
    <xf numFmtId="165" fontId="10" fillId="7" borderId="36" xfId="1" applyNumberFormat="1" applyFont="1" applyFill="1" applyBorder="1" applyAlignment="1">
      <alignment horizontal="right"/>
    </xf>
    <xf numFmtId="165" fontId="10" fillId="7" borderId="38" xfId="1" applyNumberFormat="1" applyFont="1" applyFill="1" applyBorder="1" applyAlignment="1">
      <alignment horizontal="right"/>
    </xf>
    <xf numFmtId="165" fontId="10" fillId="7" borderId="39" xfId="1" applyNumberFormat="1" applyFont="1" applyFill="1" applyBorder="1" applyAlignment="1">
      <alignment horizontal="right"/>
    </xf>
    <xf numFmtId="0" fontId="6" fillId="6" borderId="12" xfId="0" applyFont="1" applyFill="1" applyBorder="1" applyAlignment="1">
      <alignment horizontal="center"/>
    </xf>
    <xf numFmtId="0" fontId="6" fillId="6" borderId="13" xfId="0" applyFont="1" applyFill="1" applyBorder="1" applyAlignment="1">
      <alignment horizontal="center"/>
    </xf>
    <xf numFmtId="0" fontId="6" fillId="6" borderId="40" xfId="0" applyFont="1" applyFill="1" applyBorder="1" applyAlignment="1">
      <alignment horizontal="center"/>
    </xf>
    <xf numFmtId="165" fontId="5" fillId="3" borderId="30" xfId="1" applyNumberFormat="1" applyFont="1" applyFill="1" applyBorder="1" applyAlignment="1">
      <alignment horizontal="right"/>
    </xf>
    <xf numFmtId="165" fontId="5" fillId="3" borderId="27" xfId="1" applyNumberFormat="1" applyFont="1" applyFill="1" applyBorder="1" applyAlignment="1">
      <alignment horizontal="right"/>
    </xf>
    <xf numFmtId="165" fontId="5" fillId="3" borderId="23" xfId="1" applyNumberFormat="1" applyFont="1" applyFill="1" applyBorder="1" applyAlignment="1">
      <alignment horizontal="right"/>
    </xf>
    <xf numFmtId="165" fontId="5" fillId="3" borderId="41" xfId="1" applyNumberFormat="1" applyFont="1" applyFill="1" applyBorder="1" applyAlignment="1">
      <alignment horizontal="right"/>
    </xf>
    <xf numFmtId="165" fontId="5" fillId="3" borderId="42" xfId="1" applyNumberFormat="1" applyFont="1" applyFill="1" applyBorder="1" applyAlignment="1">
      <alignment horizontal="right"/>
    </xf>
    <xf numFmtId="165" fontId="5" fillId="3" borderId="0" xfId="1" applyNumberFormat="1" applyFont="1" applyFill="1" applyBorder="1" applyAlignment="1">
      <alignment horizontal="right"/>
    </xf>
    <xf numFmtId="165" fontId="5" fillId="3" borderId="31" xfId="1" applyNumberFormat="1" applyFont="1" applyFill="1" applyBorder="1" applyAlignment="1">
      <alignment horizontal="right"/>
    </xf>
    <xf numFmtId="165" fontId="5" fillId="3" borderId="18" xfId="1" applyNumberFormat="1" applyFont="1" applyFill="1" applyBorder="1" applyAlignment="1">
      <alignment horizontal="right"/>
    </xf>
    <xf numFmtId="165" fontId="5" fillId="3" borderId="24" xfId="1" applyNumberFormat="1" applyFont="1" applyFill="1" applyBorder="1" applyAlignment="1">
      <alignment horizontal="right"/>
    </xf>
    <xf numFmtId="164" fontId="5" fillId="3" borderId="42" xfId="1" applyFont="1" applyFill="1" applyBorder="1" applyAlignment="1">
      <alignment horizontal="right"/>
    </xf>
    <xf numFmtId="164" fontId="5" fillId="3" borderId="0" xfId="1" applyFont="1" applyFill="1" applyBorder="1" applyAlignment="1">
      <alignment horizontal="right"/>
    </xf>
    <xf numFmtId="0" fontId="5" fillId="3" borderId="42" xfId="0" applyFont="1" applyFill="1" applyBorder="1" applyAlignment="1">
      <alignment horizontal="right"/>
    </xf>
    <xf numFmtId="0" fontId="5" fillId="3" borderId="0" xfId="0" applyFont="1" applyFill="1" applyAlignment="1">
      <alignment horizontal="right"/>
    </xf>
    <xf numFmtId="0" fontId="9" fillId="3" borderId="31" xfId="0" applyFont="1" applyFill="1" applyBorder="1" applyAlignment="1">
      <alignment horizontal="right"/>
    </xf>
    <xf numFmtId="0" fontId="9" fillId="3" borderId="18" xfId="0" applyFont="1" applyFill="1" applyBorder="1" applyAlignment="1">
      <alignment horizontal="right"/>
    </xf>
    <xf numFmtId="0" fontId="9" fillId="3" borderId="43" xfId="0" applyFont="1" applyFill="1" applyBorder="1" applyAlignment="1">
      <alignment horizontal="right"/>
    </xf>
    <xf numFmtId="164" fontId="5" fillId="3" borderId="42" xfId="0" applyNumberFormat="1" applyFont="1" applyFill="1" applyBorder="1" applyAlignment="1">
      <alignment horizontal="right"/>
    </xf>
    <xf numFmtId="164" fontId="5" fillId="3" borderId="0" xfId="0" applyNumberFormat="1" applyFont="1" applyFill="1" applyAlignment="1">
      <alignment horizontal="right"/>
    </xf>
    <xf numFmtId="0" fontId="2" fillId="5" borderId="29" xfId="0" applyFont="1" applyFill="1" applyBorder="1" applyAlignment="1">
      <alignment horizontal="left" vertical="center"/>
    </xf>
    <xf numFmtId="0" fontId="2" fillId="5" borderId="28" xfId="0" applyFont="1" applyFill="1" applyBorder="1" applyAlignment="1">
      <alignment horizontal="left" vertical="center"/>
    </xf>
    <xf numFmtId="0" fontId="2" fillId="5" borderId="30" xfId="0" applyFont="1" applyFill="1" applyBorder="1" applyAlignment="1">
      <alignment horizontal="left" vertical="center"/>
    </xf>
    <xf numFmtId="0" fontId="2" fillId="5" borderId="25"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34" xfId="0" applyFont="1" applyFill="1" applyBorder="1" applyAlignment="1">
      <alignment horizontal="center" vertical="center"/>
    </xf>
    <xf numFmtId="0" fontId="0" fillId="3" borderId="42" xfId="0" applyFill="1" applyBorder="1" applyAlignment="1">
      <alignment horizontal="right"/>
    </xf>
    <xf numFmtId="0" fontId="0" fillId="3" borderId="0" xfId="0" applyFill="1" applyAlignment="1">
      <alignment horizontal="right"/>
    </xf>
    <xf numFmtId="0" fontId="5" fillId="3" borderId="27" xfId="0" applyFont="1" applyFill="1" applyBorder="1" applyAlignment="1">
      <alignment horizontal="right"/>
    </xf>
    <xf numFmtId="0" fontId="5" fillId="3" borderId="23" xfId="0" applyFont="1" applyFill="1" applyBorder="1" applyAlignment="1">
      <alignment horizontal="right"/>
    </xf>
    <xf numFmtId="164" fontId="5" fillId="3" borderId="25" xfId="1" applyFont="1" applyFill="1" applyBorder="1" applyAlignment="1">
      <alignment horizontal="center"/>
    </xf>
    <xf numFmtId="164" fontId="5" fillId="3" borderId="30" xfId="1" applyFont="1" applyFill="1" applyBorder="1" applyAlignment="1">
      <alignment horizontal="center"/>
    </xf>
    <xf numFmtId="164" fontId="5" fillId="3" borderId="34" xfId="1" applyFont="1" applyFill="1" applyBorder="1" applyAlignment="1">
      <alignment horizontal="center"/>
    </xf>
    <xf numFmtId="164" fontId="5" fillId="3" borderId="37" xfId="1" applyFont="1" applyFill="1" applyBorder="1" applyAlignment="1">
      <alignment horizontal="center"/>
    </xf>
    <xf numFmtId="164" fontId="5" fillId="3" borderId="38" xfId="1" applyFont="1" applyFill="1" applyBorder="1" applyAlignment="1">
      <alignment horizontal="center"/>
    </xf>
    <xf numFmtId="164" fontId="5" fillId="3" borderId="39" xfId="1" applyFont="1" applyFill="1" applyBorder="1" applyAlignment="1">
      <alignment horizontal="center"/>
    </xf>
    <xf numFmtId="165" fontId="5" fillId="3" borderId="31" xfId="0" applyNumberFormat="1" applyFont="1" applyFill="1" applyBorder="1" applyAlignment="1">
      <alignment horizontal="right"/>
    </xf>
    <xf numFmtId="165" fontId="5" fillId="3" borderId="18" xfId="0" applyNumberFormat="1" applyFont="1" applyFill="1" applyBorder="1" applyAlignment="1">
      <alignment horizontal="right"/>
    </xf>
    <xf numFmtId="165" fontId="5" fillId="3" borderId="43" xfId="0" applyNumberFormat="1" applyFont="1" applyFill="1" applyBorder="1" applyAlignment="1">
      <alignment horizontal="right"/>
    </xf>
    <xf numFmtId="165" fontId="5" fillId="0" borderId="31" xfId="0" applyNumberFormat="1" applyFont="1" applyBorder="1" applyAlignment="1">
      <alignment horizontal="right"/>
    </xf>
    <xf numFmtId="165" fontId="5" fillId="0" borderId="18" xfId="0" applyNumberFormat="1" applyFont="1" applyBorder="1" applyAlignment="1">
      <alignment horizontal="right"/>
    </xf>
    <xf numFmtId="165" fontId="5" fillId="0" borderId="43" xfId="0" applyNumberFormat="1" applyFont="1" applyBorder="1" applyAlignment="1">
      <alignment horizontal="right"/>
    </xf>
    <xf numFmtId="164" fontId="5" fillId="3" borderId="44" xfId="0" applyNumberFormat="1" applyFont="1" applyFill="1" applyBorder="1" applyAlignment="1">
      <alignment horizontal="right"/>
    </xf>
    <xf numFmtId="0" fontId="5" fillId="3" borderId="7" xfId="0" applyFont="1" applyFill="1" applyBorder="1" applyAlignment="1">
      <alignment horizontal="right"/>
    </xf>
    <xf numFmtId="0" fontId="5" fillId="3" borderId="8" xfId="0" applyFont="1" applyFill="1" applyBorder="1" applyAlignment="1">
      <alignment horizontal="right"/>
    </xf>
    <xf numFmtId="0" fontId="2" fillId="7" borderId="25" xfId="0" applyFont="1" applyFill="1" applyBorder="1" applyAlignment="1">
      <alignment horizontal="center"/>
    </xf>
    <xf numFmtId="0" fontId="2" fillId="7" borderId="30" xfId="0" applyFont="1" applyFill="1" applyBorder="1" applyAlignment="1">
      <alignment horizontal="center"/>
    </xf>
    <xf numFmtId="0" fontId="2" fillId="7" borderId="27" xfId="0" applyFont="1" applyFill="1" applyBorder="1" applyAlignment="1">
      <alignment horizontal="center"/>
    </xf>
    <xf numFmtId="0" fontId="2" fillId="7" borderId="24" xfId="0" applyFont="1" applyFill="1" applyBorder="1" applyAlignment="1">
      <alignment horizontal="center"/>
    </xf>
    <xf numFmtId="0" fontId="2" fillId="7" borderId="0" xfId="0" applyFont="1" applyFill="1" applyAlignment="1">
      <alignment horizontal="center"/>
    </xf>
    <xf numFmtId="0" fontId="2" fillId="7" borderId="5" xfId="0" applyFont="1" applyFill="1" applyBorder="1" applyAlignment="1">
      <alignment horizontal="center"/>
    </xf>
    <xf numFmtId="165" fontId="5" fillId="0" borderId="44" xfId="1" applyNumberFormat="1" applyFont="1" applyFill="1" applyBorder="1" applyAlignment="1">
      <alignment horizontal="right"/>
    </xf>
    <xf numFmtId="165" fontId="5" fillId="0" borderId="7" xfId="1" applyNumberFormat="1" applyFont="1" applyFill="1" applyBorder="1" applyAlignment="1">
      <alignment horizontal="right"/>
    </xf>
    <xf numFmtId="165" fontId="7" fillId="3" borderId="27" xfId="0" applyNumberFormat="1" applyFont="1" applyFill="1" applyBorder="1" applyAlignment="1">
      <alignment horizontal="right"/>
    </xf>
    <xf numFmtId="165" fontId="7" fillId="3" borderId="23" xfId="0" applyNumberFormat="1" applyFont="1" applyFill="1" applyBorder="1" applyAlignment="1">
      <alignment horizontal="right"/>
    </xf>
    <xf numFmtId="165" fontId="7" fillId="3" borderId="41" xfId="0" applyNumberFormat="1" applyFont="1" applyFill="1" applyBorder="1" applyAlignment="1">
      <alignment horizontal="right"/>
    </xf>
    <xf numFmtId="0" fontId="2" fillId="7" borderId="29" xfId="0" applyFont="1" applyFill="1" applyBorder="1" applyAlignment="1">
      <alignment horizontal="center"/>
    </xf>
    <xf numFmtId="0" fontId="2" fillId="7" borderId="28" xfId="0" applyFont="1" applyFill="1" applyBorder="1" applyAlignment="1">
      <alignment horizontal="center"/>
    </xf>
    <xf numFmtId="0" fontId="2" fillId="7" borderId="34" xfId="0" applyFont="1" applyFill="1" applyBorder="1" applyAlignment="1">
      <alignment horizontal="center"/>
    </xf>
    <xf numFmtId="165" fontId="7" fillId="3" borderId="25" xfId="1" applyNumberFormat="1" applyFont="1" applyFill="1" applyBorder="1" applyAlignment="1">
      <alignment horizontal="right"/>
    </xf>
    <xf numFmtId="165" fontId="7" fillId="3" borderId="28" xfId="1" applyNumberFormat="1" applyFont="1" applyFill="1" applyBorder="1" applyAlignment="1">
      <alignment horizontal="right"/>
    </xf>
    <xf numFmtId="165" fontId="7" fillId="3" borderId="34" xfId="1" applyNumberFormat="1" applyFont="1" applyFill="1" applyBorder="1" applyAlignment="1">
      <alignment horizontal="right"/>
    </xf>
    <xf numFmtId="165" fontId="7" fillId="3" borderId="27" xfId="1" applyNumberFormat="1" applyFont="1" applyFill="1" applyBorder="1" applyAlignment="1">
      <alignment horizontal="right"/>
    </xf>
    <xf numFmtId="165" fontId="7" fillId="3" borderId="23" xfId="1" applyNumberFormat="1" applyFont="1" applyFill="1" applyBorder="1" applyAlignment="1">
      <alignment horizontal="right"/>
    </xf>
    <xf numFmtId="165" fontId="7" fillId="3" borderId="41" xfId="1" applyNumberFormat="1" applyFont="1" applyFill="1" applyBorder="1" applyAlignment="1">
      <alignment horizontal="right"/>
    </xf>
    <xf numFmtId="165" fontId="5" fillId="0" borderId="31" xfId="1" applyNumberFormat="1" applyFont="1" applyFill="1" applyBorder="1" applyAlignment="1">
      <alignment horizontal="right"/>
    </xf>
    <xf numFmtId="165" fontId="5" fillId="0" borderId="18" xfId="1" applyNumberFormat="1" applyFont="1" applyFill="1" applyBorder="1" applyAlignment="1">
      <alignment horizontal="right"/>
    </xf>
    <xf numFmtId="0" fontId="5" fillId="3" borderId="25" xfId="0" applyFont="1" applyFill="1" applyBorder="1" applyAlignment="1">
      <alignment horizontal="center"/>
    </xf>
    <xf numFmtId="0" fontId="5" fillId="3" borderId="34" xfId="0" applyFont="1" applyFill="1" applyBorder="1" applyAlignment="1">
      <alignment horizontal="center"/>
    </xf>
    <xf numFmtId="0" fontId="5" fillId="3" borderId="37" xfId="0" applyFont="1" applyFill="1" applyBorder="1" applyAlignment="1">
      <alignment horizontal="center"/>
    </xf>
    <xf numFmtId="0" fontId="5" fillId="3" borderId="38" xfId="0" applyFont="1" applyFill="1" applyBorder="1" applyAlignment="1">
      <alignment horizontal="center"/>
    </xf>
    <xf numFmtId="0" fontId="5" fillId="3" borderId="39" xfId="0" applyFont="1" applyFill="1" applyBorder="1" applyAlignment="1">
      <alignment horizontal="center"/>
    </xf>
    <xf numFmtId="166" fontId="5" fillId="3" borderId="25" xfId="0" applyNumberFormat="1" applyFont="1" applyFill="1" applyBorder="1" applyAlignment="1">
      <alignment horizontal="center"/>
    </xf>
    <xf numFmtId="166" fontId="5" fillId="3" borderId="30" xfId="0" applyNumberFormat="1" applyFont="1" applyFill="1" applyBorder="1" applyAlignment="1">
      <alignment horizontal="center"/>
    </xf>
    <xf numFmtId="166" fontId="5" fillId="3" borderId="25" xfId="2" applyNumberFormat="1" applyFont="1" applyFill="1" applyBorder="1" applyAlignment="1">
      <alignment horizontal="center"/>
    </xf>
    <xf numFmtId="166" fontId="5" fillId="3" borderId="30" xfId="2" applyNumberFormat="1" applyFont="1" applyFill="1" applyBorder="1" applyAlignment="1">
      <alignment horizontal="center"/>
    </xf>
    <xf numFmtId="166" fontId="5" fillId="3" borderId="34" xfId="2" applyNumberFormat="1" applyFont="1" applyFill="1" applyBorder="1" applyAlignment="1">
      <alignment horizontal="center"/>
    </xf>
    <xf numFmtId="15" fontId="5" fillId="3" borderId="25" xfId="0" applyNumberFormat="1" applyFont="1" applyFill="1" applyBorder="1" applyAlignment="1">
      <alignment horizontal="center"/>
    </xf>
    <xf numFmtId="10" fontId="5" fillId="3" borderId="25" xfId="2" applyNumberFormat="1" applyFont="1" applyFill="1" applyBorder="1" applyAlignment="1">
      <alignment horizontal="center"/>
    </xf>
    <xf numFmtId="10" fontId="5" fillId="3" borderId="30" xfId="2" applyNumberFormat="1" applyFont="1" applyFill="1" applyBorder="1" applyAlignment="1">
      <alignment horizontal="center"/>
    </xf>
    <xf numFmtId="10" fontId="5" fillId="3" borderId="34" xfId="2" applyNumberFormat="1" applyFont="1" applyFill="1" applyBorder="1" applyAlignment="1">
      <alignment horizontal="center"/>
    </xf>
    <xf numFmtId="165" fontId="5" fillId="3" borderId="25" xfId="1" applyNumberFormat="1" applyFont="1" applyFill="1" applyBorder="1" applyAlignment="1">
      <alignment horizontal="center"/>
    </xf>
    <xf numFmtId="165" fontId="5" fillId="3" borderId="30" xfId="1" applyNumberFormat="1" applyFont="1" applyFill="1" applyBorder="1" applyAlignment="1">
      <alignment horizontal="center"/>
    </xf>
    <xf numFmtId="165" fontId="5" fillId="3" borderId="34" xfId="1" applyNumberFormat="1" applyFont="1" applyFill="1" applyBorder="1" applyAlignment="1">
      <alignment horizontal="center"/>
    </xf>
    <xf numFmtId="0" fontId="0" fillId="3" borderId="25" xfId="0" applyFill="1" applyBorder="1" applyAlignment="1">
      <alignment horizontal="center"/>
    </xf>
    <xf numFmtId="0" fontId="0" fillId="3" borderId="30" xfId="0" applyFill="1" applyBorder="1" applyAlignment="1">
      <alignment horizontal="center"/>
    </xf>
    <xf numFmtId="0" fontId="0" fillId="3" borderId="34" xfId="0" applyFill="1" applyBorder="1" applyAlignment="1">
      <alignment horizontal="center"/>
    </xf>
    <xf numFmtId="165" fontId="5" fillId="3" borderId="20" xfId="1" applyNumberFormat="1" applyFont="1" applyFill="1" applyBorder="1" applyAlignment="1">
      <alignment horizontal="right"/>
    </xf>
    <xf numFmtId="165" fontId="5" fillId="3" borderId="21" xfId="1" applyNumberFormat="1" applyFont="1" applyFill="1" applyBorder="1" applyAlignment="1">
      <alignment horizontal="right"/>
    </xf>
    <xf numFmtId="0" fontId="0" fillId="3" borderId="32" xfId="0" applyFill="1" applyBorder="1" applyAlignment="1">
      <alignment horizontal="right"/>
    </xf>
    <xf numFmtId="0" fontId="0" fillId="3" borderId="33" xfId="0" applyFill="1" applyBorder="1" applyAlignment="1">
      <alignment horizontal="right"/>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5" borderId="34" xfId="0" applyFont="1" applyFill="1" applyBorder="1" applyAlignment="1">
      <alignment horizontal="center"/>
    </xf>
    <xf numFmtId="165" fontId="5" fillId="3" borderId="20" xfId="1" applyNumberFormat="1" applyFont="1" applyFill="1" applyBorder="1" applyAlignment="1">
      <alignment horizontal="right" wrapText="1"/>
    </xf>
    <xf numFmtId="165" fontId="5" fillId="3" borderId="21" xfId="1"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5" borderId="26" xfId="0" applyFont="1" applyFill="1" applyBorder="1" applyAlignment="1">
      <alignment horizontal="left" vertical="center"/>
    </xf>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19"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0" fontId="2" fillId="5" borderId="24" xfId="0" applyFont="1" applyFill="1" applyBorder="1" applyAlignment="1">
      <alignment horizontal="left" vertical="center"/>
    </xf>
    <xf numFmtId="165" fontId="0" fillId="3" borderId="42" xfId="1" applyNumberFormat="1" applyFont="1" applyFill="1" applyBorder="1" applyAlignment="1">
      <alignment horizontal="center"/>
    </xf>
    <xf numFmtId="165" fontId="0" fillId="3" borderId="26" xfId="1" applyNumberFormat="1" applyFont="1" applyFill="1" applyBorder="1" applyAlignment="1">
      <alignment horizontal="center"/>
    </xf>
    <xf numFmtId="9" fontId="0" fillId="3" borderId="18" xfId="2" applyFont="1" applyFill="1" applyBorder="1" applyAlignment="1">
      <alignment horizontal="center"/>
    </xf>
    <xf numFmtId="9" fontId="0" fillId="3" borderId="19" xfId="2" applyFont="1" applyFill="1" applyBorder="1" applyAlignment="1">
      <alignment horizontal="center"/>
    </xf>
    <xf numFmtId="165" fontId="0" fillId="3" borderId="42" xfId="1" applyNumberFormat="1" applyFont="1" applyFill="1" applyBorder="1" applyAlignment="1">
      <alignment horizontal="right"/>
    </xf>
    <xf numFmtId="165" fontId="0" fillId="3" borderId="0" xfId="1" applyNumberFormat="1" applyFont="1" applyFill="1" applyBorder="1" applyAlignment="1">
      <alignment horizontal="right"/>
    </xf>
    <xf numFmtId="9" fontId="0" fillId="3" borderId="31" xfId="2" applyFont="1" applyFill="1" applyBorder="1" applyAlignment="1">
      <alignment horizontal="center"/>
    </xf>
    <xf numFmtId="165" fontId="2" fillId="3" borderId="25" xfId="1" applyNumberFormat="1" applyFont="1" applyFill="1" applyBorder="1" applyAlignment="1">
      <alignment horizontal="center"/>
    </xf>
    <xf numFmtId="165" fontId="2" fillId="3" borderId="30" xfId="1" applyNumberFormat="1" applyFont="1" applyFill="1" applyBorder="1" applyAlignment="1">
      <alignment horizontal="center"/>
    </xf>
    <xf numFmtId="9" fontId="2" fillId="3" borderId="25" xfId="0" applyNumberFormat="1" applyFont="1" applyFill="1" applyBorder="1" applyAlignment="1">
      <alignment horizontal="center"/>
    </xf>
    <xf numFmtId="0" fontId="2" fillId="3" borderId="30" xfId="0" applyFont="1" applyFill="1" applyBorder="1" applyAlignment="1">
      <alignment horizontal="center"/>
    </xf>
    <xf numFmtId="165" fontId="2" fillId="3" borderId="25" xfId="1" applyNumberFormat="1" applyFont="1" applyFill="1" applyBorder="1" applyAlignment="1">
      <alignment horizontal="right"/>
    </xf>
    <xf numFmtId="165" fontId="2" fillId="3" borderId="30" xfId="1" applyNumberFormat="1" applyFont="1" applyFill="1" applyBorder="1" applyAlignment="1">
      <alignment horizontal="right"/>
    </xf>
    <xf numFmtId="9" fontId="2" fillId="3" borderId="31" xfId="2" applyFont="1" applyFill="1" applyBorder="1" applyAlignment="1">
      <alignment horizontal="center"/>
    </xf>
    <xf numFmtId="9" fontId="2" fillId="3" borderId="19" xfId="2" applyFont="1" applyFill="1" applyBorder="1" applyAlignment="1">
      <alignment horizontal="center"/>
    </xf>
    <xf numFmtId="9" fontId="0" fillId="3" borderId="0" xfId="2" applyFont="1" applyFill="1" applyBorder="1" applyAlignment="1">
      <alignment horizontal="center"/>
    </xf>
    <xf numFmtId="9" fontId="0" fillId="3" borderId="26" xfId="2" applyFont="1" applyFill="1" applyBorder="1" applyAlignment="1">
      <alignment horizontal="center"/>
    </xf>
    <xf numFmtId="9" fontId="0" fillId="3" borderId="42" xfId="2" applyFont="1" applyFill="1" applyBorder="1" applyAlignment="1">
      <alignment horizontal="center"/>
    </xf>
    <xf numFmtId="165" fontId="0" fillId="3" borderId="27" xfId="1" applyNumberFormat="1" applyFont="1" applyFill="1" applyBorder="1" applyAlignment="1">
      <alignment horizontal="center"/>
    </xf>
    <xf numFmtId="165" fontId="0" fillId="3" borderId="24" xfId="1"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165" fontId="0" fillId="3" borderId="31" xfId="1" applyNumberFormat="1" applyFont="1" applyFill="1" applyBorder="1" applyAlignment="1">
      <alignment horizontal="center"/>
    </xf>
    <xf numFmtId="165" fontId="0" fillId="3" borderId="19" xfId="1" applyNumberFormat="1" applyFont="1" applyFill="1" applyBorder="1" applyAlignment="1">
      <alignment horizontal="center"/>
    </xf>
    <xf numFmtId="165" fontId="0" fillId="3" borderId="0" xfId="1" applyNumberFormat="1" applyFont="1" applyFill="1" applyBorder="1" applyAlignment="1">
      <alignment horizontal="center"/>
    </xf>
    <xf numFmtId="165" fontId="2" fillId="3" borderId="31" xfId="1" applyNumberFormat="1" applyFont="1" applyFill="1" applyBorder="1" applyAlignment="1">
      <alignment horizontal="center"/>
    </xf>
    <xf numFmtId="165" fontId="2" fillId="3" borderId="19" xfId="1" applyNumberFormat="1" applyFont="1" applyFill="1" applyBorder="1" applyAlignment="1">
      <alignment horizontal="center"/>
    </xf>
    <xf numFmtId="165" fontId="2" fillId="3" borderId="25" xfId="0" applyNumberFormat="1" applyFont="1" applyFill="1" applyBorder="1" applyAlignment="1">
      <alignment horizontal="center"/>
    </xf>
    <xf numFmtId="0" fontId="0" fillId="3" borderId="27" xfId="2" applyNumberFormat="1" applyFont="1" applyFill="1" applyBorder="1" applyAlignment="1">
      <alignment horizontal="center"/>
    </xf>
    <xf numFmtId="165" fontId="2" fillId="3" borderId="31" xfId="0" applyNumberFormat="1" applyFont="1" applyFill="1" applyBorder="1" applyAlignment="1">
      <alignment horizontal="center"/>
    </xf>
    <xf numFmtId="0" fontId="2" fillId="3" borderId="19" xfId="0" applyFont="1" applyFill="1" applyBorder="1" applyAlignment="1">
      <alignment horizontal="center"/>
    </xf>
    <xf numFmtId="9" fontId="2" fillId="3" borderId="30" xfId="0" applyNumberFormat="1" applyFont="1" applyFill="1" applyBorder="1" applyAlignment="1">
      <alignment horizontal="center"/>
    </xf>
    <xf numFmtId="9" fontId="2" fillId="3" borderId="25" xfId="2" applyFont="1" applyFill="1" applyBorder="1" applyAlignment="1">
      <alignment horizontal="center"/>
    </xf>
    <xf numFmtId="9" fontId="2" fillId="3" borderId="30" xfId="2" applyFont="1" applyFill="1" applyBorder="1" applyAlignment="1">
      <alignment horizontal="center"/>
    </xf>
    <xf numFmtId="0" fontId="2" fillId="5" borderId="23" xfId="0" applyFont="1" applyFill="1" applyBorder="1" applyAlignment="1">
      <alignment horizontal="center"/>
    </xf>
    <xf numFmtId="0" fontId="2" fillId="5" borderId="24" xfId="0" applyFont="1" applyFill="1" applyBorder="1" applyAlignment="1">
      <alignment horizontal="center"/>
    </xf>
    <xf numFmtId="9" fontId="7" fillId="3" borderId="37" xfId="2" applyFont="1" applyFill="1" applyBorder="1" applyAlignment="1">
      <alignment horizontal="center"/>
    </xf>
    <xf numFmtId="9" fontId="7" fillId="3" borderId="36" xfId="2" applyFont="1" applyFill="1" applyBorder="1" applyAlignment="1">
      <alignment horizontal="center"/>
    </xf>
    <xf numFmtId="9" fontId="7" fillId="3" borderId="38" xfId="2" applyFont="1" applyFill="1" applyBorder="1" applyAlignment="1">
      <alignment horizontal="center"/>
    </xf>
    <xf numFmtId="10" fontId="7" fillId="3" borderId="37" xfId="2" applyNumberFormat="1" applyFont="1" applyFill="1" applyBorder="1" applyAlignment="1">
      <alignment horizontal="center"/>
    </xf>
    <xf numFmtId="10" fontId="7" fillId="3" borderId="36" xfId="2" applyNumberFormat="1" applyFont="1" applyFill="1" applyBorder="1" applyAlignment="1">
      <alignment horizontal="center"/>
    </xf>
    <xf numFmtId="10" fontId="7" fillId="3" borderId="38" xfId="2" applyNumberFormat="1" applyFont="1" applyFill="1" applyBorder="1" applyAlignment="1">
      <alignment horizontal="center"/>
    </xf>
    <xf numFmtId="10" fontId="7" fillId="3" borderId="39" xfId="2" applyNumberFormat="1"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30" xfId="2"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30" xfId="2" applyNumberFormat="1" applyFont="1" applyFill="1" applyBorder="1" applyAlignment="1">
      <alignment horizontal="center"/>
    </xf>
    <xf numFmtId="10" fontId="7" fillId="3" borderId="34" xfId="2" applyNumberFormat="1" applyFont="1" applyFill="1" applyBorder="1" applyAlignment="1">
      <alignment horizontal="center"/>
    </xf>
    <xf numFmtId="0" fontId="12" fillId="3" borderId="25" xfId="0" applyFont="1" applyFill="1" applyBorder="1" applyAlignment="1">
      <alignment horizontal="center"/>
    </xf>
    <xf numFmtId="0" fontId="12" fillId="3" borderId="28" xfId="0" applyFont="1" applyFill="1" applyBorder="1" applyAlignment="1">
      <alignment horizontal="center"/>
    </xf>
    <xf numFmtId="0" fontId="12" fillId="3" borderId="30" xfId="0"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4" xfId="0" applyNumberFormat="1" applyFont="1" applyFill="1" applyBorder="1" applyAlignment="1">
      <alignment horizontal="center"/>
    </xf>
    <xf numFmtId="0" fontId="7" fillId="3" borderId="27"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10" fontId="7" fillId="3" borderId="27" xfId="2" applyNumberFormat="1" applyFont="1" applyFill="1" applyBorder="1" applyAlignment="1">
      <alignment horizontal="center"/>
    </xf>
    <xf numFmtId="10" fontId="7" fillId="3" borderId="23" xfId="2" applyNumberFormat="1" applyFont="1" applyFill="1" applyBorder="1" applyAlignment="1">
      <alignment horizontal="center"/>
    </xf>
    <xf numFmtId="10" fontId="7" fillId="3" borderId="24" xfId="2" applyNumberFormat="1" applyFont="1" applyFill="1" applyBorder="1" applyAlignment="1">
      <alignment horizontal="center"/>
    </xf>
    <xf numFmtId="9" fontId="12" fillId="3" borderId="25" xfId="0"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4" xfId="0" applyFont="1" applyFill="1" applyBorder="1" applyAlignment="1">
      <alignment horizontal="center"/>
    </xf>
    <xf numFmtId="10" fontId="7" fillId="3" borderId="28" xfId="0" applyNumberFormat="1" applyFont="1" applyFill="1" applyBorder="1" applyAlignment="1">
      <alignment horizontal="center"/>
    </xf>
    <xf numFmtId="10" fontId="7" fillId="3" borderId="34" xfId="0" applyNumberFormat="1" applyFont="1" applyFill="1" applyBorder="1" applyAlignment="1">
      <alignment horizontal="center"/>
    </xf>
    <xf numFmtId="165" fontId="7" fillId="3" borderId="44" xfId="1" applyNumberFormat="1" applyFont="1" applyFill="1" applyBorder="1" applyAlignment="1">
      <alignment horizontal="right"/>
    </xf>
    <xf numFmtId="165" fontId="7" fillId="3" borderId="7" xfId="1" applyNumberFormat="1" applyFont="1" applyFill="1" applyBorder="1" applyAlignment="1">
      <alignment horizontal="right"/>
    </xf>
    <xf numFmtId="165" fontId="7" fillId="3" borderId="45" xfId="1" applyNumberFormat="1" applyFont="1" applyFill="1" applyBorder="1" applyAlignment="1">
      <alignment horizontal="right"/>
    </xf>
    <xf numFmtId="165" fontId="7" fillId="3" borderId="8" xfId="1" applyNumberFormat="1" applyFont="1" applyFill="1" applyBorder="1" applyAlignment="1">
      <alignment horizontal="right"/>
    </xf>
    <xf numFmtId="165" fontId="7" fillId="3" borderId="42" xfId="1" applyNumberFormat="1" applyFont="1" applyFill="1" applyBorder="1" applyAlignment="1">
      <alignment horizontal="right"/>
    </xf>
    <xf numFmtId="165" fontId="7" fillId="3" borderId="0" xfId="1" applyNumberFormat="1" applyFont="1" applyFill="1" applyBorder="1" applyAlignment="1">
      <alignment horizontal="right"/>
    </xf>
    <xf numFmtId="165" fontId="7" fillId="3" borderId="31" xfId="1" applyNumberFormat="1" applyFont="1" applyFill="1" applyBorder="1" applyAlignment="1">
      <alignment horizontal="right"/>
    </xf>
    <xf numFmtId="165" fontId="7" fillId="3" borderId="18" xfId="1" applyNumberFormat="1" applyFont="1" applyFill="1" applyBorder="1" applyAlignment="1">
      <alignment horizontal="right"/>
    </xf>
    <xf numFmtId="165" fontId="7" fillId="3" borderId="24" xfId="1" applyNumberFormat="1" applyFont="1" applyFill="1" applyBorder="1" applyAlignment="1">
      <alignment horizontal="right"/>
    </xf>
    <xf numFmtId="165" fontId="7" fillId="3" borderId="36" xfId="1" applyNumberFormat="1" applyFont="1" applyFill="1" applyBorder="1" applyAlignment="1">
      <alignment horizontal="right"/>
    </xf>
    <xf numFmtId="165" fontId="7" fillId="3" borderId="39" xfId="1" applyNumberFormat="1" applyFont="1" applyFill="1" applyBorder="1" applyAlignment="1">
      <alignment horizontal="right"/>
    </xf>
    <xf numFmtId="165" fontId="7" fillId="3" borderId="42" xfId="1" applyNumberFormat="1" applyFont="1" applyFill="1" applyBorder="1" applyAlignment="1">
      <alignment horizontal="center"/>
    </xf>
    <xf numFmtId="165" fontId="7" fillId="3" borderId="0" xfId="1" applyNumberFormat="1" applyFont="1" applyFill="1" applyBorder="1" applyAlignment="1">
      <alignment horizontal="center"/>
    </xf>
    <xf numFmtId="0" fontId="2" fillId="7" borderId="17" xfId="0" applyFont="1" applyFill="1" applyBorder="1" applyAlignment="1">
      <alignment horizontal="center"/>
    </xf>
    <xf numFmtId="0" fontId="2" fillId="7" borderId="18" xfId="0" applyFont="1" applyFill="1" applyBorder="1" applyAlignment="1">
      <alignment horizontal="center"/>
    </xf>
    <xf numFmtId="0" fontId="2" fillId="7" borderId="43" xfId="0" applyFont="1" applyFill="1" applyBorder="1" applyAlignment="1">
      <alignment horizontal="center"/>
    </xf>
    <xf numFmtId="165" fontId="7" fillId="0" borderId="23" xfId="1" applyNumberFormat="1" applyFont="1" applyFill="1" applyBorder="1" applyAlignment="1">
      <alignment horizontal="right"/>
    </xf>
    <xf numFmtId="165" fontId="7" fillId="0" borderId="41" xfId="1" applyNumberFormat="1" applyFont="1" applyFill="1" applyBorder="1" applyAlignment="1">
      <alignment horizontal="right"/>
    </xf>
    <xf numFmtId="0" fontId="0" fillId="3" borderId="20" xfId="0" applyFill="1" applyBorder="1" applyAlignment="1">
      <alignment horizontal="right"/>
    </xf>
    <xf numFmtId="0" fontId="0" fillId="3" borderId="21" xfId="0" applyFill="1" applyBorder="1" applyAlignment="1">
      <alignment horizontal="right"/>
    </xf>
    <xf numFmtId="14" fontId="5" fillId="0" borderId="20" xfId="0" applyNumberFormat="1" applyFont="1" applyBorder="1" applyAlignment="1">
      <alignment horizontal="right" wrapText="1"/>
    </xf>
    <xf numFmtId="14" fontId="5" fillId="0" borderId="21" xfId="0" applyNumberFormat="1" applyFont="1" applyBorder="1" applyAlignment="1">
      <alignment horizontal="right" wrapText="1"/>
    </xf>
    <xf numFmtId="166" fontId="5" fillId="3" borderId="20" xfId="0" applyNumberFormat="1" applyFont="1" applyFill="1" applyBorder="1" applyAlignment="1">
      <alignment horizontal="right" wrapText="1"/>
    </xf>
    <xf numFmtId="166" fontId="5" fillId="3" borderId="21" xfId="0" applyNumberFormat="1" applyFont="1" applyFill="1" applyBorder="1" applyAlignment="1">
      <alignment horizontal="righ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ebogo\AppData\Local\Microsoft\Windows\INetCache\Content.Outlook\61L8INQB\Div%20Calc_Oct%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v Calc"/>
      <sheetName val="BS"/>
      <sheetName val="PoP"/>
    </sheetNames>
    <sheetDataSet>
      <sheetData sheetId="0">
        <row r="4">
          <cell r="C4">
            <v>3600000</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Tebogo Moseamedi" id="{D4FED689-1C0F-4B64-A34F-56A00D696F9B}" userId="S::Tebogo@tuhf.co.za::c7a2f782-5bdb-4eb3-90a2-4d8713fa8ede" providerId="AD"/>
  <person displayName="Gunning, Nicholas NCM" id="{912629A0-CD11-4985-8A1C-24FF10C869BC}"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912629A0-CD11-4985-8A1C-24FF10C869BC}" id="{6B240C1B-E88E-4E97-9488-83EE48B80A23}">
    <text>1.141.13	Administrator Report Date means the fifteenth twelfth day after each Determination Date, or if any such day is not a Business Day, then the immediately succeeding day that is a Business Day;</text>
  </threadedComment>
  <threadedComment ref="C9" dT="2020-07-10T12:16:41.19" personId="{912629A0-CD11-4985-8A1C-24FF10C869BC}" id="{23656F1D-B55A-47EB-AC79-EFAA3AB8007C}">
    <text>1.1021.100	Determination Date means the last Business Day of [December, March, June and September], save for the first Determination Date which will be the date specified in the APS;</text>
  </threadedComment>
  <threadedComment ref="C12" dT="2020-07-10T12:17:28.82" personId="{912629A0-CD11-4985-8A1C-24FF10C869BC}" id="{C3F5BC27-7ED4-4A7A-A208-165BC1399250}">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912629A0-CD11-4985-8A1C-24FF10C869BC}" id="{1EA7B96C-CEC2-4110-9AC0-EB1D77B6A558}">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912629A0-CD11-4985-8A1C-24FF10C869BC}" id="{AE4BAADD-D173-43E1-B739-96C3C93C8D7C}">
    <text>1.2201.211	Prepayments means principal repayments received under a Loan Agreement in excess of the minimum Instalments which a Borrower is obliged to pay;</text>
  </threadedComment>
  <threadedComment ref="C72" dT="2020-07-10T12:32:40.90" personId="{912629A0-CD11-4985-8A1C-24FF10C869BC}" id="{17BF493F-88DA-419F-90A7-B7217FE1E22C}">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1" dT="2020-07-10T12:14:24.90" personId="{912629A0-CD11-4985-8A1C-24FF10C869BC}" id="{45CED17F-4403-479C-B0B3-9A06BDB2A018}">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Q96" dT="2021-08-12T08:54:25.49" personId="{D4FED689-1C0F-4B64-A34F-56A00D696F9B}" id="{EBBC5FB2-1130-4CAD-956A-847B8291FA60}">
    <text>Relates to advances made from TUHF Limited on behalf of UU1</text>
  </threadedComment>
  <threadedComment ref="C99" dT="2020-07-03T14:38:14.35" personId="{912629A0-CD11-4985-8A1C-24FF10C869BC}" id="{B4030184-12FA-4DD3-86EF-8AA63FB6560B}">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0" dT="2020-07-03T14:39:03.59" personId="{912629A0-CD11-4985-8A1C-24FF10C869BC}" id="{CF34A1A7-6DA7-48EC-8BB0-CD9B546B060E}">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4" dT="2020-07-03T14:39:59.73" personId="{912629A0-CD11-4985-8A1C-24FF10C869BC}" id="{D671135F-D5F3-45D1-BF92-8ECECEAF2917}">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5" dT="2020-07-03T14:40:20.29" personId="{912629A0-CD11-4985-8A1C-24FF10C869BC}" id="{07D5186E-3F97-4213-A68F-66C79DBA5AF3}">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1" dT="2020-07-06T07:36:37.57" personId="{912629A0-CD11-4985-8A1C-24FF10C869BC}" id="{9F32FBED-FE69-4D5B-B741-A3D73EC358B4}">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0" dT="2020-07-06T07:42:12.02" personId="{912629A0-CD11-4985-8A1C-24FF10C869BC}" id="{86FA7D88-1B2E-4BD0-B0E9-93C8462C3EC2}">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2" dT="2020-07-06T07:42:23.74" personId="{912629A0-CD11-4985-8A1C-24FF10C869BC}" id="{8E686134-F5D7-40FE-AFF6-50CEBC498B2F}">
    <text>1.701.69	Class C Principal Lock-Out shall occur on any Interest Payment Date on which, if prior to the allocation of the Redemption Amount in accordance with the Priority of Payments, there are Class B Notes outstanding;</text>
  </threadedComment>
  <threadedComment ref="C136" dT="2020-07-01T09:26:37.19" personId="{912629A0-CD11-4985-8A1C-24FF10C869BC}" id="{4BE2E71E-A425-442B-952A-D2ED7C3F3DA0}">
    <text>1.1	first, to pay or provide for the Issuer’s liability or potential liability for Tax;</text>
  </threadedComment>
  <threadedComment ref="C137" dT="2020-07-01T09:26:57.34" personId="{912629A0-CD11-4985-8A1C-24FF10C869BC}" id="{D2193AAC-F5B2-47CC-83B9-875067DDE124}">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0" dT="2020-07-01T09:27:14.39" personId="{912629A0-CD11-4985-8A1C-24FF10C869BC}" id="{D16EF5CC-74C8-4CA2-A50C-023842AE15EB}">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3" dT="2020-07-01T09:27:31.91" personId="{912629A0-CD11-4985-8A1C-24FF10C869BC}" id="{7463FD38-C578-43D4-A483-2802FD2A8B09}">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47" dT="2020-07-01T09:28:08.22" personId="{912629A0-CD11-4985-8A1C-24FF10C869BC}" id="{69A01C84-05D0-476E-A22F-AE99D7DA572C}">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48" dT="2020-07-01T09:28:21.98" personId="{912629A0-CD11-4985-8A1C-24FF10C869BC}" id="{86C11367-8728-40E4-8A2F-493D9A6EF661}">
    <text>1.6	sixth, to pay all amounts due and payable under the Liquidity Facility other than in respect of principal;</text>
  </threadedComment>
  <threadedComment ref="C149" dT="2020-07-01T09:28:38.95" personId="{912629A0-CD11-4985-8A1C-24FF10C869BC}" id="{4BA5EF47-5A4F-4EC8-999D-CAEAC387B810}">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3" dT="2020-07-01T09:28:53.80" personId="{912629A0-CD11-4985-8A1C-24FF10C869BC}" id="{023CFBE0-FC4F-4EB4-83DF-2D9499678F86}">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4" dT="2020-07-01T09:29:09.23" personId="{912629A0-CD11-4985-8A1C-24FF10C869BC}" id="{7C275D5B-ADE6-44AD-8EBC-B8FC53B8685A}">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5" dT="2020-07-01T09:29:24.56" personId="{912629A0-CD11-4985-8A1C-24FF10C869BC}" id="{CF9A9206-3A41-4C6C-AB40-3F2624DC07F4}">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6" dT="2020-07-01T09:29:39.12" personId="{912629A0-CD11-4985-8A1C-24FF10C869BC}" id="{C593A24F-4CF7-4AA6-B2D1-12E17E527CE1}">
    <text>1.11	eleventh, to repay all principal amounts outstanding under the Liquidity Facility as at the immediately preceding Determination Date up to an amount equal to the Potential Redemption Amount;</text>
  </threadedComment>
  <threadedComment ref="C157" dT="2020-07-01T09:30:54.67" personId="{912629A0-CD11-4985-8A1C-24FF10C869BC}" id="{55853F8A-BB9E-4F34-9544-331DDC0C37F6}">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58" dT="2020-07-01T09:32:55.52" personId="{912629A0-CD11-4985-8A1C-24FF10C869BC}" id="{FC496448-7B4D-4169-A925-F00103D097F8}">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59" dT="2020-07-01T10:02:56.38" personId="{912629A0-CD11-4985-8A1C-24FF10C869BC}" id="{FFDABEA5-B5F9-4450-A2CD-25FA54F40523}">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6" dT="2020-07-01T10:03:22.01" personId="{912629A0-CD11-4985-8A1C-24FF10C869BC}" id="{D2B7CCB4-C03A-4103-9D86-508D74D4735F}">
    <text>1.16	sixteenth, to credit the Arrears Reserve up to the Arrears Reserve Required Amount;</text>
  </threadedComment>
  <threadedComment ref="C167" dT="2020-07-01T10:05:05.09" personId="{912629A0-CD11-4985-8A1C-24FF10C869BC}" id="{AC30A38B-40FC-4D05-8306-581A1A2E587B}">
    <text>1.17	seventeenth, if a Class B Interest Deferral Event has occurred on or prior to such Interest Payment Date, to pay interest due and payable in respect of the Class B Notes;</text>
  </threadedComment>
  <threadedComment ref="C168" dT="2020-07-01T12:04:10.91" personId="{912629A0-CD11-4985-8A1C-24FF10C869BC}" id="{B8ACF28E-A4B8-4464-9E13-58D48083E7F4}">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1" dT="2020-07-01T10:03:22.01" personId="{912629A0-CD11-4985-8A1C-24FF10C869BC}" id="{F84A2CF9-3730-45FD-A2E1-AF0C6F2F6F9E}">
    <text>1.16	sixteenth, to credit the Arrears Reserve up to the Arrears Reserve Required Amount;</text>
  </threadedComment>
  <threadedComment ref="C172" dT="2020-07-01T12:05:33.95" personId="{912629A0-CD11-4985-8A1C-24FF10C869BC}" id="{BFA184C0-B438-479C-AC15-00133FD97F60}">
    <text>1.19	nineteenth, if a Class C Interest Deferral Event has occurred on or prior to such Interest Payment Date, to pay interest due and payable in respect of the Class C Notes;</text>
  </threadedComment>
  <threadedComment ref="C173" dT="2020-07-01T12:06:45.00" personId="{912629A0-CD11-4985-8A1C-24FF10C869BC}" id="{9A1B3889-875E-4E22-8AC2-83162944483F}">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5" dT="2020-07-01T12:08:33.83" personId="{912629A0-CD11-4985-8A1C-24FF10C869BC}" id="{8109FE9C-256E-4AD6-AF51-531304A000A7}">
    <text>1.21	twenty-first, to pay or provide for pari passu and pro rata the Derivative Termination Amounts due and payable to any Derivative Counterparty under the Derivative Contracts where the Derivative Counterparty is in default;</text>
  </threadedComment>
  <threadedComment ref="C176" dT="2020-07-01T12:32:50.70" personId="{912629A0-CD11-4985-8A1C-24FF10C869BC}" id="{65E306E7-49AC-4AC2-8774-773687C84CEE}">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77" dT="2020-07-01T12:33:36.96" personId="{912629A0-CD11-4985-8A1C-24FF10C869BC}" id="{B0742EB2-5819-40A0-B1B5-CFD25CEBD7D2}">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78" dT="2020-07-01T12:52:53.39" personId="{912629A0-CD11-4985-8A1C-24FF10C869BC}" id="{E880061F-FB63-4D1E-AEE5-99D5F525CE98}">
    <text>1.24	twenty-forth, to pay amounts due and payable in respect of the Subordinated Loan;</text>
  </threadedComment>
  <threadedComment ref="C182" dT="2020-07-01T12:53:16.85" personId="{912629A0-CD11-4985-8A1C-24FF10C869BC}" id="{B7BF8E43-C473-47A2-949D-61A0A7F89FF0}">
    <text>1.25	twenty-fifth, to pay or provide for the dividend due and payable to the Preference Shareholder, net of Taxes; and</text>
  </threadedComment>
  <threadedComment ref="C183" dT="2020-07-01T12:53:33.02" personId="{912629A0-CD11-4985-8A1C-24FF10C869BC}" id="{B2D4BF83-CDE6-41C9-A9CB-EE1F669A94E8}">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 ref="I184" dT="2021-05-17T06:41:46.91" personId="{D4FED689-1C0F-4B64-A34F-56A00D696F9B}" id="{E88507BF-6EE6-4DC0-BE74-05C930B1877D}">
    <text>Unable to cover Sub Loan interest because of the Short CP</text>
  </threadedComment>
</ThreadedComments>
</file>

<file path=xl/threadedComments/threadedComment2.xml><?xml version="1.0" encoding="utf-8"?>
<ThreadedComments xmlns="http://schemas.microsoft.com/office/spreadsheetml/2018/threadedcomments" xmlns:x="http://schemas.openxmlformats.org/spreadsheetml/2006/main">
  <threadedComment ref="J37" dT="2021-08-10T15:29:55.50" personId="{D4FED689-1C0F-4B64-A34F-56A00D696F9B}" id="{F50755E1-2B3F-4EE3-806C-12C25E558084}">
    <text>Add proceeds from Marvin Court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0F9E-4BE7-4D07-A8DE-F2055E0E6286}">
  <sheetPr>
    <pageSetUpPr fitToPage="1"/>
  </sheetPr>
  <dimension ref="B1:T219"/>
  <sheetViews>
    <sheetView tabSelected="1" zoomScale="90" zoomScaleNormal="90" workbookViewId="0">
      <selection activeCell="U4" sqref="U4"/>
    </sheetView>
  </sheetViews>
  <sheetFormatPr defaultColWidth="9.109375" defaultRowHeight="14.4"/>
  <cols>
    <col min="1" max="1" width="9.109375" style="1"/>
    <col min="2" max="2" width="3.44140625" style="1" customWidth="1"/>
    <col min="3" max="3" width="39.109375" style="1" customWidth="1"/>
    <col min="4" max="4" width="11.88671875" style="1" bestFit="1" customWidth="1"/>
    <col min="5" max="5" width="11.44140625" style="1" customWidth="1"/>
    <col min="6" max="9" width="9.109375" style="1"/>
    <col min="10" max="10" width="18.109375" style="1" customWidth="1"/>
    <col min="11" max="13" width="9.109375" style="1"/>
    <col min="14" max="14" width="10.44140625" style="1" customWidth="1"/>
    <col min="15" max="15" width="4" style="1" customWidth="1"/>
    <col min="16" max="16" width="15.44140625" style="1" bestFit="1" customWidth="1"/>
    <col min="17" max="17" width="15.6640625" style="1" bestFit="1" customWidth="1"/>
    <col min="18" max="18" width="13.44140625" style="1" customWidth="1"/>
    <col min="19" max="19" width="15.21875" style="1" bestFit="1" customWidth="1"/>
    <col min="20" max="20" width="13.44140625" style="1" bestFit="1" customWidth="1"/>
    <col min="21" max="16384" width="9.109375" style="1"/>
  </cols>
  <sheetData>
    <row r="1" spans="2:15" ht="15" thickBot="1"/>
    <row r="2" spans="2:15" ht="15" thickBot="1">
      <c r="B2" s="2"/>
      <c r="C2" s="3"/>
      <c r="D2" s="3"/>
      <c r="E2" s="3"/>
      <c r="F2" s="3"/>
      <c r="G2" s="3"/>
      <c r="H2" s="3"/>
      <c r="I2" s="3"/>
      <c r="J2" s="3"/>
      <c r="K2" s="3"/>
      <c r="L2" s="3"/>
      <c r="M2" s="3"/>
      <c r="N2" s="3"/>
      <c r="O2" s="4"/>
    </row>
    <row r="3" spans="2:15" ht="20.25" customHeight="1">
      <c r="B3" s="5"/>
      <c r="C3" s="332" t="s">
        <v>0</v>
      </c>
      <c r="D3" s="333"/>
      <c r="E3" s="333"/>
      <c r="F3" s="333"/>
      <c r="G3" s="333"/>
      <c r="H3" s="333"/>
      <c r="I3" s="333"/>
      <c r="J3" s="333"/>
      <c r="K3" s="333"/>
      <c r="L3" s="333"/>
      <c r="M3" s="333"/>
      <c r="N3" s="334"/>
      <c r="O3" s="6"/>
    </row>
    <row r="4" spans="2:15" ht="20.25" customHeight="1" thickBot="1">
      <c r="B4" s="5"/>
      <c r="C4" s="335"/>
      <c r="D4" s="336"/>
      <c r="E4" s="336"/>
      <c r="F4" s="336"/>
      <c r="G4" s="336"/>
      <c r="H4" s="336"/>
      <c r="I4" s="336"/>
      <c r="J4" s="336"/>
      <c r="K4" s="336"/>
      <c r="L4" s="336"/>
      <c r="M4" s="336"/>
      <c r="N4" s="337"/>
      <c r="O4" s="6"/>
    </row>
    <row r="5" spans="2:15" ht="15" thickBot="1">
      <c r="B5" s="5"/>
      <c r="C5" s="7"/>
      <c r="D5" s="7"/>
      <c r="E5" s="7"/>
      <c r="F5" s="7"/>
      <c r="G5" s="7"/>
      <c r="H5" s="7"/>
      <c r="I5" s="7"/>
      <c r="J5" s="7"/>
      <c r="K5" s="7"/>
      <c r="L5" s="7"/>
      <c r="M5" s="7"/>
      <c r="N5" s="7"/>
      <c r="O5" s="6"/>
    </row>
    <row r="6" spans="2:15" ht="15" thickBot="1">
      <c r="B6" s="5"/>
      <c r="C6" s="338" t="s">
        <v>1</v>
      </c>
      <c r="D6" s="339"/>
      <c r="E6" s="339"/>
      <c r="F6" s="339"/>
      <c r="G6" s="339"/>
      <c r="H6" s="339"/>
      <c r="I6" s="339"/>
      <c r="J6" s="339"/>
      <c r="K6" s="339"/>
      <c r="L6" s="339"/>
      <c r="M6" s="339"/>
      <c r="N6" s="340"/>
      <c r="O6" s="6"/>
    </row>
    <row r="7" spans="2:15" ht="15" thickBot="1">
      <c r="B7" s="5"/>
      <c r="C7" s="7"/>
      <c r="D7" s="7"/>
      <c r="E7" s="7"/>
      <c r="F7" s="7"/>
      <c r="G7" s="7"/>
      <c r="H7" s="7"/>
      <c r="I7" s="7"/>
      <c r="J7" s="7"/>
      <c r="K7" s="7"/>
      <c r="L7" s="7"/>
      <c r="M7" s="7"/>
      <c r="N7" s="7"/>
      <c r="O7" s="6"/>
    </row>
    <row r="8" spans="2:15">
      <c r="B8" s="5"/>
      <c r="C8" s="8" t="s">
        <v>2</v>
      </c>
      <c r="D8" s="9"/>
      <c r="E8" s="9"/>
      <c r="F8" s="9"/>
      <c r="G8" s="9"/>
      <c r="H8" s="9"/>
      <c r="I8" s="10"/>
      <c r="J8" s="341">
        <f ca="1">J9+12</f>
        <v>44512</v>
      </c>
      <c r="K8" s="341"/>
      <c r="L8" s="341"/>
      <c r="M8" s="341"/>
      <c r="N8" s="342"/>
      <c r="O8" s="6"/>
    </row>
    <row r="9" spans="2:15">
      <c r="B9" s="5"/>
      <c r="C9" s="11" t="s">
        <v>3</v>
      </c>
      <c r="D9" s="12"/>
      <c r="E9" s="12"/>
      <c r="F9" s="12"/>
      <c r="G9" s="12"/>
      <c r="H9" s="12"/>
      <c r="I9" s="13"/>
      <c r="J9" s="324">
        <f ca="1">'Servicer Report'!J9</f>
        <v>44500</v>
      </c>
      <c r="K9" s="324"/>
      <c r="L9" s="324"/>
      <c r="M9" s="324"/>
      <c r="N9" s="325"/>
      <c r="O9" s="6"/>
    </row>
    <row r="10" spans="2:15">
      <c r="B10" s="5"/>
      <c r="C10" s="326" t="s">
        <v>4</v>
      </c>
      <c r="D10" s="327"/>
      <c r="E10" s="343"/>
      <c r="F10" s="14" t="s">
        <v>5</v>
      </c>
      <c r="G10" s="12"/>
      <c r="H10" s="12"/>
      <c r="I10" s="13"/>
      <c r="J10" s="324">
        <f ca="1">'Servicer Report'!J10</f>
        <v>44408</v>
      </c>
      <c r="K10" s="324"/>
      <c r="L10" s="324"/>
      <c r="M10" s="324"/>
      <c r="N10" s="325"/>
      <c r="O10" s="6"/>
    </row>
    <row r="11" spans="2:15" ht="15" customHeight="1">
      <c r="B11" s="5"/>
      <c r="C11" s="329"/>
      <c r="D11" s="330"/>
      <c r="E11" s="328"/>
      <c r="F11" s="15" t="s">
        <v>6</v>
      </c>
      <c r="G11" s="12"/>
      <c r="H11" s="12"/>
      <c r="I11" s="13"/>
      <c r="J11" s="324">
        <f ca="1">'Servicer Report'!J11</f>
        <v>44500</v>
      </c>
      <c r="K11" s="324"/>
      <c r="L11" s="324"/>
      <c r="M11" s="324"/>
      <c r="N11" s="325"/>
      <c r="O11" s="6"/>
    </row>
    <row r="12" spans="2:15">
      <c r="B12" s="5"/>
      <c r="C12" s="16" t="s">
        <v>7</v>
      </c>
      <c r="D12" s="17"/>
      <c r="E12" s="18"/>
      <c r="F12" s="19"/>
      <c r="G12" s="12"/>
      <c r="H12" s="12"/>
      <c r="I12" s="13"/>
      <c r="J12" s="322">
        <f ca="1">J11-J10</f>
        <v>92</v>
      </c>
      <c r="K12" s="322"/>
      <c r="L12" s="322"/>
      <c r="M12" s="322"/>
      <c r="N12" s="323"/>
      <c r="O12" s="6"/>
    </row>
    <row r="13" spans="2:15">
      <c r="B13" s="5"/>
      <c r="C13" s="20" t="s">
        <v>8</v>
      </c>
      <c r="D13" s="19"/>
      <c r="E13" s="19"/>
      <c r="F13" s="19"/>
      <c r="G13" s="19"/>
      <c r="H13" s="19"/>
      <c r="I13" s="21"/>
      <c r="J13" s="324">
        <f ca="1">'Servicer Report'!J18</f>
        <v>44515</v>
      </c>
      <c r="K13" s="324"/>
      <c r="L13" s="324"/>
      <c r="M13" s="324"/>
      <c r="N13" s="325"/>
      <c r="O13" s="6"/>
    </row>
    <row r="14" spans="2:15">
      <c r="B14" s="5"/>
      <c r="C14" s="326" t="s">
        <v>9</v>
      </c>
      <c r="D14" s="327"/>
      <c r="E14" s="328"/>
      <c r="F14" s="22" t="s">
        <v>10</v>
      </c>
      <c r="G14" s="19"/>
      <c r="H14" s="19"/>
      <c r="I14" s="21"/>
      <c r="J14" s="324">
        <f ca="1">'Servicer Report'!J17</f>
        <v>44424</v>
      </c>
      <c r="K14" s="324"/>
      <c r="L14" s="324"/>
      <c r="M14" s="324"/>
      <c r="N14" s="325"/>
      <c r="O14" s="6"/>
    </row>
    <row r="15" spans="2:15" ht="15" customHeight="1">
      <c r="B15" s="5"/>
      <c r="C15" s="329"/>
      <c r="D15" s="330"/>
      <c r="E15" s="331"/>
      <c r="F15" s="14" t="s">
        <v>11</v>
      </c>
      <c r="G15" s="19"/>
      <c r="H15" s="19"/>
      <c r="I15" s="21"/>
      <c r="J15" s="324">
        <f ca="1">J13</f>
        <v>44515</v>
      </c>
      <c r="K15" s="324"/>
      <c r="L15" s="324"/>
      <c r="M15" s="324"/>
      <c r="N15" s="325"/>
      <c r="O15" s="6"/>
    </row>
    <row r="16" spans="2:15">
      <c r="B16" s="5"/>
      <c r="C16" s="16" t="s">
        <v>12</v>
      </c>
      <c r="D16" s="23"/>
      <c r="E16" s="23"/>
      <c r="F16" s="19"/>
      <c r="G16" s="19"/>
      <c r="H16" s="19"/>
      <c r="I16" s="21"/>
      <c r="J16" s="322">
        <f ca="1">J15-J14</f>
        <v>91</v>
      </c>
      <c r="K16" s="322"/>
      <c r="L16" s="322"/>
      <c r="M16" s="322"/>
      <c r="N16" s="323"/>
      <c r="O16" s="6"/>
    </row>
    <row r="17" spans="2:15">
      <c r="B17" s="5"/>
      <c r="C17" s="24" t="s">
        <v>13</v>
      </c>
      <c r="D17" s="18"/>
      <c r="E17" s="18"/>
      <c r="F17" s="19"/>
      <c r="G17" s="19"/>
      <c r="H17" s="19"/>
      <c r="I17" s="21"/>
      <c r="J17" s="314">
        <v>609000000</v>
      </c>
      <c r="K17" s="314"/>
      <c r="L17" s="314"/>
      <c r="M17" s="314"/>
      <c r="N17" s="315"/>
      <c r="O17" s="6"/>
    </row>
    <row r="18" spans="2:15">
      <c r="B18" s="5"/>
      <c r="C18" s="24" t="s">
        <v>14</v>
      </c>
      <c r="D18" s="18"/>
      <c r="E18" s="18"/>
      <c r="F18" s="19"/>
      <c r="G18" s="19"/>
      <c r="H18" s="19"/>
      <c r="I18" s="21"/>
      <c r="J18" s="314">
        <v>603451667.68999994</v>
      </c>
      <c r="K18" s="314"/>
      <c r="L18" s="314"/>
      <c r="M18" s="314"/>
      <c r="N18" s="315"/>
      <c r="O18" s="6"/>
    </row>
    <row r="19" spans="2:15">
      <c r="B19" s="5"/>
      <c r="C19" s="16" t="s">
        <v>15</v>
      </c>
      <c r="D19" s="23"/>
      <c r="E19" s="23"/>
      <c r="F19" s="12"/>
      <c r="G19" s="12"/>
      <c r="H19" s="12"/>
      <c r="I19" s="13"/>
      <c r="J19" s="314">
        <f ca="1">J18-F159</f>
        <v>596841630.86999989</v>
      </c>
      <c r="K19" s="314"/>
      <c r="L19" s="314"/>
      <c r="M19" s="314"/>
      <c r="N19" s="315"/>
      <c r="O19" s="6"/>
    </row>
    <row r="20" spans="2:15" ht="15" thickBot="1">
      <c r="B20" s="5"/>
      <c r="C20" s="25" t="s">
        <v>16</v>
      </c>
      <c r="D20" s="26"/>
      <c r="E20" s="26"/>
      <c r="F20" s="26"/>
      <c r="G20" s="26"/>
      <c r="H20" s="26"/>
      <c r="I20" s="26"/>
      <c r="J20" s="316" t="s">
        <v>17</v>
      </c>
      <c r="K20" s="316"/>
      <c r="L20" s="316"/>
      <c r="M20" s="316"/>
      <c r="N20" s="317"/>
      <c r="O20" s="6"/>
    </row>
    <row r="21" spans="2:15" ht="15" thickBot="1">
      <c r="B21" s="5"/>
      <c r="C21" s="7"/>
      <c r="D21" s="7"/>
      <c r="E21" s="7"/>
      <c r="F21" s="7"/>
      <c r="G21" s="7"/>
      <c r="H21" s="7"/>
      <c r="I21" s="7"/>
      <c r="J21" s="7"/>
      <c r="K21" s="7"/>
      <c r="L21" s="7"/>
      <c r="M21" s="7"/>
      <c r="N21" s="7"/>
      <c r="O21" s="6"/>
    </row>
    <row r="22" spans="2:15">
      <c r="B22" s="5"/>
      <c r="C22" s="318" t="s">
        <v>18</v>
      </c>
      <c r="D22" s="319"/>
      <c r="E22" s="319"/>
      <c r="F22" s="319"/>
      <c r="G22" s="319"/>
      <c r="H22" s="319"/>
      <c r="I22" s="319"/>
      <c r="J22" s="319"/>
      <c r="K22" s="319"/>
      <c r="L22" s="319"/>
      <c r="M22" s="319"/>
      <c r="N22" s="320"/>
      <c r="O22" s="6"/>
    </row>
    <row r="23" spans="2:15">
      <c r="B23" s="5"/>
      <c r="C23" s="20" t="s">
        <v>19</v>
      </c>
      <c r="D23" s="27"/>
      <c r="E23" s="27"/>
      <c r="F23" s="27"/>
      <c r="G23" s="201" t="s">
        <v>20</v>
      </c>
      <c r="H23" s="202"/>
      <c r="I23" s="201" t="s">
        <v>21</v>
      </c>
      <c r="J23" s="202"/>
      <c r="K23" s="201" t="s">
        <v>22</v>
      </c>
      <c r="L23" s="202"/>
      <c r="M23" s="201" t="s">
        <v>23</v>
      </c>
      <c r="N23" s="321"/>
      <c r="O23" s="6"/>
    </row>
    <row r="24" spans="2:15">
      <c r="B24" s="5"/>
      <c r="C24" s="28" t="s">
        <v>24</v>
      </c>
      <c r="D24" s="29"/>
      <c r="E24" s="29"/>
      <c r="F24" s="29"/>
      <c r="G24" s="311" t="s">
        <v>25</v>
      </c>
      <c r="H24" s="312"/>
      <c r="I24" s="311" t="s">
        <v>26</v>
      </c>
      <c r="J24" s="312"/>
      <c r="K24" s="311" t="s">
        <v>27</v>
      </c>
      <c r="L24" s="312"/>
      <c r="M24" s="311" t="s">
        <v>28</v>
      </c>
      <c r="N24" s="313"/>
      <c r="O24" s="6"/>
    </row>
    <row r="25" spans="2:15">
      <c r="B25" s="5"/>
      <c r="C25" s="20" t="s">
        <v>29</v>
      </c>
      <c r="D25" s="27"/>
      <c r="E25" s="27"/>
      <c r="F25" s="27"/>
      <c r="G25" s="311" t="s">
        <v>30</v>
      </c>
      <c r="H25" s="312"/>
      <c r="I25" s="311" t="s">
        <v>31</v>
      </c>
      <c r="J25" s="312"/>
      <c r="K25" s="311" t="s">
        <v>32</v>
      </c>
      <c r="L25" s="312"/>
      <c r="M25" s="311" t="s">
        <v>33</v>
      </c>
      <c r="N25" s="313"/>
      <c r="O25" s="6"/>
    </row>
    <row r="26" spans="2:15">
      <c r="B26" s="5"/>
      <c r="C26" s="20" t="s">
        <v>34</v>
      </c>
      <c r="D26" s="27"/>
      <c r="E26" s="27"/>
      <c r="F26" s="27"/>
      <c r="G26" s="311" t="s">
        <v>35</v>
      </c>
      <c r="H26" s="312"/>
      <c r="I26" s="311" t="s">
        <v>35</v>
      </c>
      <c r="J26" s="312"/>
      <c r="K26" s="311" t="s">
        <v>35</v>
      </c>
      <c r="L26" s="312"/>
      <c r="M26" s="311" t="s">
        <v>35</v>
      </c>
      <c r="N26" s="313"/>
      <c r="O26" s="6"/>
    </row>
    <row r="27" spans="2:15">
      <c r="B27" s="5"/>
      <c r="C27" s="28" t="s">
        <v>36</v>
      </c>
      <c r="D27" s="29"/>
      <c r="E27" s="29"/>
      <c r="F27" s="29"/>
      <c r="G27" s="180">
        <v>1.55E-2</v>
      </c>
      <c r="H27" s="181"/>
      <c r="I27" s="305">
        <v>2.1999999999999999E-2</v>
      </c>
      <c r="J27" s="306"/>
      <c r="K27" s="305">
        <v>2.5000000000000001E-2</v>
      </c>
      <c r="L27" s="306"/>
      <c r="M27" s="305">
        <v>3.7999999999999999E-2</v>
      </c>
      <c r="N27" s="307"/>
      <c r="O27" s="6"/>
    </row>
    <row r="28" spans="2:15">
      <c r="B28" s="5"/>
      <c r="C28" s="20" t="s">
        <v>37</v>
      </c>
      <c r="D28" s="27"/>
      <c r="E28" s="27"/>
      <c r="F28" s="27"/>
      <c r="G28" s="180">
        <f>G27*1.3</f>
        <v>2.0150000000000001E-2</v>
      </c>
      <c r="H28" s="181"/>
      <c r="I28" s="305">
        <f>I27*1.3</f>
        <v>2.86E-2</v>
      </c>
      <c r="J28" s="306"/>
      <c r="K28" s="305">
        <f>K27*1.3</f>
        <v>3.2500000000000001E-2</v>
      </c>
      <c r="L28" s="306"/>
      <c r="M28" s="305">
        <f>M27*1.3</f>
        <v>4.9399999999999999E-2</v>
      </c>
      <c r="N28" s="307"/>
      <c r="O28" s="6"/>
    </row>
    <row r="29" spans="2:15">
      <c r="B29" s="5"/>
      <c r="C29" s="28" t="s">
        <v>38</v>
      </c>
      <c r="D29" s="29"/>
      <c r="E29" s="29"/>
      <c r="F29" s="29"/>
      <c r="G29" s="299">
        <f ca="1">'Servicer Report'!$J$16</f>
        <v>3.6749999999999998E-2</v>
      </c>
      <c r="H29" s="300"/>
      <c r="I29" s="299">
        <f ca="1">'Servicer Report'!$J$16</f>
        <v>3.6749999999999998E-2</v>
      </c>
      <c r="J29" s="300"/>
      <c r="K29" s="299">
        <f ca="1">'Servicer Report'!$J$16</f>
        <v>3.6749999999999998E-2</v>
      </c>
      <c r="L29" s="300"/>
      <c r="M29" s="301">
        <f ca="1">'Servicer Report'!$J$16</f>
        <v>3.6749999999999998E-2</v>
      </c>
      <c r="N29" s="303"/>
      <c r="O29" s="6"/>
    </row>
    <row r="30" spans="2:15">
      <c r="B30" s="5"/>
      <c r="C30" s="20" t="s">
        <v>39</v>
      </c>
      <c r="D30" s="27"/>
      <c r="E30" s="27"/>
      <c r="F30" s="27"/>
      <c r="G30" s="299">
        <f ca="1">G29+G27</f>
        <v>5.2249999999999998E-2</v>
      </c>
      <c r="H30" s="300"/>
      <c r="I30" s="301">
        <f t="shared" ref="I30" ca="1" si="0">I29+I27</f>
        <v>5.8749999999999997E-2</v>
      </c>
      <c r="J30" s="302"/>
      <c r="K30" s="301">
        <f t="shared" ref="K30" ca="1" si="1">K29+K27</f>
        <v>6.1749999999999999E-2</v>
      </c>
      <c r="L30" s="302"/>
      <c r="M30" s="301">
        <f ca="1">M29+M27</f>
        <v>7.4749999999999997E-2</v>
      </c>
      <c r="N30" s="303"/>
      <c r="O30" s="6"/>
    </row>
    <row r="31" spans="2:15">
      <c r="B31" s="5"/>
      <c r="C31" s="28" t="s">
        <v>40</v>
      </c>
      <c r="D31" s="29"/>
      <c r="E31" s="29"/>
      <c r="F31" s="29"/>
      <c r="G31" s="308">
        <v>202000000</v>
      </c>
      <c r="H31" s="309"/>
      <c r="I31" s="308">
        <v>309000000</v>
      </c>
      <c r="J31" s="309"/>
      <c r="K31" s="308">
        <v>73000000</v>
      </c>
      <c r="L31" s="309"/>
      <c r="M31" s="308">
        <v>25000000</v>
      </c>
      <c r="N31" s="310"/>
      <c r="O31" s="6"/>
    </row>
    <row r="32" spans="2:15">
      <c r="B32" s="5"/>
      <c r="C32" s="30" t="s">
        <v>41</v>
      </c>
      <c r="D32" s="27"/>
      <c r="E32" s="27"/>
      <c r="F32" s="27"/>
      <c r="G32" s="305">
        <f>G31/SUM($E$31:$N$31)</f>
        <v>0.33169129720853857</v>
      </c>
      <c r="H32" s="306"/>
      <c r="I32" s="305">
        <f>I31/SUM($E$31:$N$31)</f>
        <v>0.5073891625615764</v>
      </c>
      <c r="J32" s="306"/>
      <c r="K32" s="305">
        <f>K31/SUM($E$31:$N$31)</f>
        <v>0.11986863711001643</v>
      </c>
      <c r="L32" s="306"/>
      <c r="M32" s="305">
        <f>M31/SUM($E$31:$N$31)</f>
        <v>4.1050903119868636E-2</v>
      </c>
      <c r="N32" s="307"/>
      <c r="O32" s="6"/>
    </row>
    <row r="33" spans="2:19">
      <c r="B33" s="5"/>
      <c r="C33" s="30" t="s">
        <v>42</v>
      </c>
      <c r="D33" s="27"/>
      <c r="E33" s="27"/>
      <c r="F33" s="27"/>
      <c r="G33" s="305">
        <v>0.30101760342003686</v>
      </c>
      <c r="H33" s="306"/>
      <c r="I33" s="305">
        <v>0.4604675220633237</v>
      </c>
      <c r="J33" s="306"/>
      <c r="K33" s="305">
        <v>0.10878358935476579</v>
      </c>
      <c r="L33" s="306"/>
      <c r="M33" s="305">
        <v>3.7254653888618421E-2</v>
      </c>
      <c r="N33" s="307"/>
      <c r="O33" s="6"/>
    </row>
    <row r="34" spans="2:19">
      <c r="B34" s="5"/>
      <c r="C34" s="30" t="s">
        <v>43</v>
      </c>
      <c r="D34" s="27"/>
      <c r="E34" s="27"/>
      <c r="F34" s="27"/>
      <c r="G34" s="305">
        <f>1-G33</f>
        <v>0.69898239657996308</v>
      </c>
      <c r="H34" s="306"/>
      <c r="I34" s="305">
        <f>1-SUM(G33:J33)</f>
        <v>0.23851487451663944</v>
      </c>
      <c r="J34" s="306"/>
      <c r="K34" s="305">
        <f>1-SUM(E33:L33)</f>
        <v>0.12973128516187371</v>
      </c>
      <c r="L34" s="306"/>
      <c r="M34" s="305">
        <f>1-SUM(E33:N33)</f>
        <v>9.2476631273255339E-2</v>
      </c>
      <c r="N34" s="307"/>
      <c r="O34" s="6"/>
    </row>
    <row r="35" spans="2:19">
      <c r="B35" s="5"/>
      <c r="C35" s="20" t="s">
        <v>44</v>
      </c>
      <c r="D35" s="27"/>
      <c r="E35" s="27"/>
      <c r="F35" s="27"/>
      <c r="G35" s="308">
        <v>196451668</v>
      </c>
      <c r="H35" s="309"/>
      <c r="I35" s="308">
        <v>309000000</v>
      </c>
      <c r="J35" s="309"/>
      <c r="K35" s="308">
        <v>73000000</v>
      </c>
      <c r="L35" s="309"/>
      <c r="M35" s="308">
        <v>25000000</v>
      </c>
      <c r="N35" s="310"/>
      <c r="O35" s="6"/>
    </row>
    <row r="36" spans="2:19">
      <c r="B36" s="5"/>
      <c r="C36" s="20" t="s">
        <v>45</v>
      </c>
      <c r="D36" s="27"/>
      <c r="E36" s="27"/>
      <c r="F36" s="27"/>
      <c r="G36" s="308">
        <f ca="1">G35*G30*$J$16/365</f>
        <v>2559119.3655424654</v>
      </c>
      <c r="H36" s="309"/>
      <c r="I36" s="308">
        <f ca="1">I35*I30*$J$16/365</f>
        <v>4526003.4246575339</v>
      </c>
      <c r="J36" s="309"/>
      <c r="K36" s="308">
        <f ca="1">K35*K30*$J$16/365</f>
        <v>1123850</v>
      </c>
      <c r="L36" s="309"/>
      <c r="M36" s="308">
        <f ca="1">M35*M30*$J$16/365</f>
        <v>465907.53424657532</v>
      </c>
      <c r="N36" s="310"/>
      <c r="O36" s="6"/>
    </row>
    <row r="37" spans="2:19">
      <c r="B37" s="5"/>
      <c r="C37" s="20" t="s">
        <v>46</v>
      </c>
      <c r="D37" s="27"/>
      <c r="E37" s="27"/>
      <c r="F37" s="27"/>
      <c r="G37" s="308">
        <f ca="1">G36</f>
        <v>2559119.3655424654</v>
      </c>
      <c r="H37" s="309"/>
      <c r="I37" s="308">
        <f ca="1">I36</f>
        <v>4526003.4246575339</v>
      </c>
      <c r="J37" s="309"/>
      <c r="K37" s="308">
        <f ca="1">K36</f>
        <v>1123850</v>
      </c>
      <c r="L37" s="309"/>
      <c r="M37" s="308">
        <f ca="1">M36</f>
        <v>465907.53424657532</v>
      </c>
      <c r="N37" s="310"/>
      <c r="O37" s="6"/>
    </row>
    <row r="38" spans="2:19">
      <c r="B38" s="5"/>
      <c r="C38" s="20" t="s">
        <v>47</v>
      </c>
      <c r="D38" s="27"/>
      <c r="E38" s="27"/>
      <c r="F38" s="27"/>
      <c r="G38" s="308">
        <f ca="1">G36-G37</f>
        <v>0</v>
      </c>
      <c r="H38" s="309"/>
      <c r="I38" s="308">
        <f ca="1">I36-I37</f>
        <v>0</v>
      </c>
      <c r="J38" s="309"/>
      <c r="K38" s="308">
        <f ca="1">K36-K37</f>
        <v>0</v>
      </c>
      <c r="L38" s="309"/>
      <c r="M38" s="308">
        <f ca="1">M36-M37</f>
        <v>0</v>
      </c>
      <c r="N38" s="310"/>
      <c r="O38" s="6"/>
    </row>
    <row r="39" spans="2:19">
      <c r="B39" s="5"/>
      <c r="C39" s="20" t="s">
        <v>48</v>
      </c>
      <c r="D39" s="27"/>
      <c r="E39" s="27"/>
      <c r="F39" s="27"/>
      <c r="G39" s="308">
        <f ca="1">ROUND(F161,0)</f>
        <v>6610037</v>
      </c>
      <c r="H39" s="309"/>
      <c r="I39" s="308">
        <v>0</v>
      </c>
      <c r="J39" s="309"/>
      <c r="K39" s="308">
        <v>0</v>
      </c>
      <c r="L39" s="309"/>
      <c r="M39" s="308">
        <v>0</v>
      </c>
      <c r="N39" s="310"/>
      <c r="O39" s="6"/>
    </row>
    <row r="40" spans="2:19">
      <c r="B40" s="5"/>
      <c r="C40" s="20" t="s">
        <v>49</v>
      </c>
      <c r="D40" s="27"/>
      <c r="E40" s="27"/>
      <c r="F40" s="27"/>
      <c r="G40" s="308">
        <f ca="1">G35-G39</f>
        <v>189841631</v>
      </c>
      <c r="H40" s="309"/>
      <c r="I40" s="308">
        <f>I35-I39</f>
        <v>309000000</v>
      </c>
      <c r="J40" s="309"/>
      <c r="K40" s="308">
        <f>K35-K39</f>
        <v>73000000</v>
      </c>
      <c r="L40" s="309"/>
      <c r="M40" s="308">
        <f>M35-M39</f>
        <v>25000000</v>
      </c>
      <c r="N40" s="310"/>
      <c r="O40" s="6"/>
      <c r="Q40" s="55"/>
      <c r="R40" s="151"/>
      <c r="S40" s="55"/>
    </row>
    <row r="41" spans="2:19">
      <c r="B41" s="5"/>
      <c r="C41" s="30" t="s">
        <v>50</v>
      </c>
      <c r="D41" s="27"/>
      <c r="E41" s="27"/>
      <c r="F41" s="27"/>
      <c r="G41" s="305">
        <f ca="1">G40/SUM($E$40:$N$40)</f>
        <v>0.31807705954077459</v>
      </c>
      <c r="H41" s="306"/>
      <c r="I41" s="305">
        <f ca="1">I40/SUM($E$40:$N$40)</f>
        <v>0.5177252791201491</v>
      </c>
      <c r="J41" s="306"/>
      <c r="K41" s="305">
        <f ca="1">K40/SUM($E$40:$N$40)</f>
        <v>0.12231050283420997</v>
      </c>
      <c r="L41" s="306"/>
      <c r="M41" s="305">
        <f ca="1">M40/SUM($E$40:$N$40)</f>
        <v>4.1887158504866427E-2</v>
      </c>
      <c r="N41" s="307"/>
      <c r="O41" s="6"/>
    </row>
    <row r="42" spans="2:19">
      <c r="B42" s="5"/>
      <c r="C42" s="30" t="s">
        <v>51</v>
      </c>
      <c r="D42" s="27"/>
      <c r="E42" s="27"/>
      <c r="F42" s="27"/>
      <c r="G42" s="305">
        <v>0.28738314330737297</v>
      </c>
      <c r="H42" s="306"/>
      <c r="I42" s="305">
        <v>0.46776563609474181</v>
      </c>
      <c r="J42" s="306"/>
      <c r="K42" s="305">
        <v>0.1105077392715733</v>
      </c>
      <c r="L42" s="306"/>
      <c r="M42" s="305">
        <v>3.7845116188894967E-2</v>
      </c>
      <c r="N42" s="307"/>
      <c r="O42" s="6"/>
      <c r="Q42" s="150"/>
      <c r="R42" s="150"/>
      <c r="S42" s="150"/>
    </row>
    <row r="43" spans="2:19">
      <c r="B43" s="5"/>
      <c r="C43" s="31" t="s">
        <v>52</v>
      </c>
      <c r="D43" s="27"/>
      <c r="E43" s="27"/>
      <c r="F43" s="27"/>
      <c r="G43" s="305">
        <f>1-G42</f>
        <v>0.71261685669262698</v>
      </c>
      <c r="H43" s="306"/>
      <c r="I43" s="305">
        <f>1-SUM(G42:J42)</f>
        <v>0.24485122059788522</v>
      </c>
      <c r="J43" s="306"/>
      <c r="K43" s="305">
        <f>1-SUM(E42:L42)</f>
        <v>0.13434348132631191</v>
      </c>
      <c r="L43" s="306"/>
      <c r="M43" s="305">
        <f>1-SUM(G42:N42)</f>
        <v>9.6498365137416942E-2</v>
      </c>
      <c r="N43" s="307"/>
      <c r="O43" s="6"/>
    </row>
    <row r="44" spans="2:19">
      <c r="B44" s="5"/>
      <c r="C44" s="20" t="s">
        <v>53</v>
      </c>
      <c r="D44" s="27"/>
      <c r="E44" s="27"/>
      <c r="F44" s="27"/>
      <c r="G44" s="304">
        <v>52366</v>
      </c>
      <c r="H44" s="181"/>
      <c r="I44" s="304">
        <v>52366</v>
      </c>
      <c r="J44" s="181"/>
      <c r="K44" s="304">
        <v>52366</v>
      </c>
      <c r="L44" s="181"/>
      <c r="M44" s="304">
        <v>52366</v>
      </c>
      <c r="N44" s="295"/>
      <c r="O44" s="6"/>
      <c r="S44" s="55"/>
    </row>
    <row r="45" spans="2:19">
      <c r="B45" s="5"/>
      <c r="C45" s="28" t="s">
        <v>54</v>
      </c>
      <c r="D45" s="29"/>
      <c r="E45" s="29"/>
      <c r="F45" s="29"/>
      <c r="G45" s="304">
        <v>45427</v>
      </c>
      <c r="H45" s="181"/>
      <c r="I45" s="304">
        <v>46157</v>
      </c>
      <c r="J45" s="181"/>
      <c r="K45" s="304">
        <v>46157</v>
      </c>
      <c r="L45" s="181"/>
      <c r="M45" s="304">
        <v>46157</v>
      </c>
      <c r="N45" s="295"/>
      <c r="O45" s="6"/>
    </row>
    <row r="46" spans="2:19">
      <c r="B46" s="5"/>
      <c r="C46" s="20" t="s">
        <v>55</v>
      </c>
      <c r="D46" s="27"/>
      <c r="E46" s="27"/>
      <c r="F46" s="27"/>
      <c r="G46" s="299">
        <v>3.6830000000000002E-2</v>
      </c>
      <c r="H46" s="300"/>
      <c r="I46" s="301">
        <f>G46</f>
        <v>3.6830000000000002E-2</v>
      </c>
      <c r="J46" s="302"/>
      <c r="K46" s="301">
        <f>I46</f>
        <v>3.6830000000000002E-2</v>
      </c>
      <c r="L46" s="302"/>
      <c r="M46" s="301">
        <f>K46</f>
        <v>3.6830000000000002E-2</v>
      </c>
      <c r="N46" s="303"/>
      <c r="O46" s="6"/>
    </row>
    <row r="47" spans="2:19">
      <c r="B47" s="5"/>
      <c r="C47" s="28" t="s">
        <v>56</v>
      </c>
      <c r="D47" s="29"/>
      <c r="E47" s="29"/>
      <c r="F47" s="29"/>
      <c r="G47" s="299">
        <f>G46+G27</f>
        <v>5.2330000000000002E-2</v>
      </c>
      <c r="H47" s="300"/>
      <c r="I47" s="301">
        <f>I46+I27</f>
        <v>5.883E-2</v>
      </c>
      <c r="J47" s="302"/>
      <c r="K47" s="301">
        <f>K46+K27</f>
        <v>6.1830000000000003E-2</v>
      </c>
      <c r="L47" s="302"/>
      <c r="M47" s="301">
        <f>M46+M27</f>
        <v>7.4830000000000008E-2</v>
      </c>
      <c r="N47" s="303"/>
      <c r="O47" s="6"/>
    </row>
    <row r="48" spans="2:19">
      <c r="B48" s="5"/>
      <c r="C48" s="20" t="s">
        <v>57</v>
      </c>
      <c r="D48" s="27"/>
      <c r="E48" s="27"/>
      <c r="F48" s="27"/>
      <c r="G48" s="294" t="s">
        <v>321</v>
      </c>
      <c r="H48" s="181"/>
      <c r="I48" s="294" t="s">
        <v>322</v>
      </c>
      <c r="J48" s="181"/>
      <c r="K48" s="294" t="s">
        <v>323</v>
      </c>
      <c r="L48" s="181"/>
      <c r="M48" s="294" t="s">
        <v>324</v>
      </c>
      <c r="N48" s="295"/>
      <c r="O48" s="6"/>
    </row>
    <row r="49" spans="2:15" ht="15" thickBot="1">
      <c r="B49" s="5"/>
      <c r="C49" s="32" t="s">
        <v>58</v>
      </c>
      <c r="D49" s="33"/>
      <c r="E49" s="33"/>
      <c r="F49" s="33"/>
      <c r="G49" s="296" t="str">
        <f>G48</f>
        <v>AAA(za)(sf)</v>
      </c>
      <c r="H49" s="297"/>
      <c r="I49" s="296" t="str">
        <f>I48</f>
        <v>AA+(za)(sf)</v>
      </c>
      <c r="J49" s="297"/>
      <c r="K49" s="296" t="str">
        <f>K48</f>
        <v>A-(za)(sf)</v>
      </c>
      <c r="L49" s="297"/>
      <c r="M49" s="296" t="str">
        <f>M48</f>
        <v>BBB-(za)(sf)</v>
      </c>
      <c r="N49" s="298"/>
      <c r="O49" s="6"/>
    </row>
    <row r="50" spans="2:15" ht="15" thickBot="1">
      <c r="B50" s="5"/>
      <c r="C50" s="7"/>
      <c r="D50" s="7"/>
      <c r="E50" s="7"/>
      <c r="F50" s="7"/>
      <c r="G50" s="7"/>
      <c r="H50" s="7"/>
      <c r="I50" s="7"/>
      <c r="J50" s="7"/>
      <c r="K50" s="7"/>
      <c r="L50" s="7"/>
      <c r="M50" s="7"/>
      <c r="N50" s="7"/>
      <c r="O50" s="6"/>
    </row>
    <row r="51" spans="2:15">
      <c r="B51" s="5"/>
      <c r="C51" s="224" t="s">
        <v>59</v>
      </c>
      <c r="D51" s="225"/>
      <c r="E51" s="225"/>
      <c r="F51" s="225"/>
      <c r="G51" s="225"/>
      <c r="H51" s="225"/>
      <c r="I51" s="225"/>
      <c r="J51" s="225"/>
      <c r="K51" s="225"/>
      <c r="L51" s="225"/>
      <c r="M51" s="225"/>
      <c r="N51" s="226"/>
      <c r="O51" s="6"/>
    </row>
    <row r="52" spans="2:15">
      <c r="B52" s="5"/>
      <c r="C52" s="283" t="s">
        <v>60</v>
      </c>
      <c r="D52" s="284"/>
      <c r="E52" s="284"/>
      <c r="F52" s="284"/>
      <c r="G52" s="284"/>
      <c r="H52" s="284"/>
      <c r="I52" s="284"/>
      <c r="J52" s="284"/>
      <c r="K52" s="284"/>
      <c r="L52" s="284"/>
      <c r="M52" s="284"/>
      <c r="N52" s="285"/>
      <c r="O52" s="6"/>
    </row>
    <row r="53" spans="2:15">
      <c r="B53" s="5"/>
      <c r="C53" s="34" t="s">
        <v>61</v>
      </c>
      <c r="D53" s="35"/>
      <c r="E53" s="35"/>
      <c r="F53" s="35"/>
      <c r="G53" s="35"/>
      <c r="H53" s="35"/>
      <c r="I53" s="36"/>
      <c r="J53" s="286">
        <v>37373213.785762325</v>
      </c>
      <c r="K53" s="287"/>
      <c r="L53" s="287"/>
      <c r="M53" s="287"/>
      <c r="N53" s="288"/>
      <c r="O53" s="6"/>
    </row>
    <row r="54" spans="2:15">
      <c r="B54" s="5"/>
      <c r="C54" s="20" t="s">
        <v>62</v>
      </c>
      <c r="D54" s="27"/>
      <c r="E54" s="27"/>
      <c r="F54" s="27"/>
      <c r="G54" s="27"/>
      <c r="H54" s="27"/>
      <c r="I54" s="37"/>
      <c r="J54" s="286">
        <v>17022349.129999999</v>
      </c>
      <c r="K54" s="287"/>
      <c r="L54" s="287"/>
      <c r="M54" s="287"/>
      <c r="N54" s="288"/>
      <c r="O54" s="6"/>
    </row>
    <row r="55" spans="2:15">
      <c r="B55" s="5"/>
      <c r="C55" s="34" t="s">
        <v>63</v>
      </c>
      <c r="D55" s="35"/>
      <c r="E55" s="35"/>
      <c r="F55" s="35"/>
      <c r="G55" s="35"/>
      <c r="H55" s="35"/>
      <c r="I55" s="35"/>
      <c r="J55" s="280">
        <f>SUM(J56:M58)</f>
        <v>20350864.655762326</v>
      </c>
      <c r="K55" s="281"/>
      <c r="L55" s="281"/>
      <c r="M55" s="281"/>
      <c r="N55" s="282"/>
      <c r="O55" s="6"/>
    </row>
    <row r="56" spans="2:15">
      <c r="B56" s="5"/>
      <c r="C56" s="31" t="s">
        <v>64</v>
      </c>
      <c r="D56" s="29"/>
      <c r="E56" s="29"/>
      <c r="F56" s="29"/>
      <c r="G56" s="29"/>
      <c r="H56" s="29"/>
      <c r="I56" s="29"/>
      <c r="J56" s="231">
        <f>J53-J54-J58</f>
        <v>4765364.655762326</v>
      </c>
      <c r="K56" s="232"/>
      <c r="L56" s="232"/>
      <c r="M56" s="232"/>
      <c r="N56" s="6"/>
      <c r="O56" s="6"/>
    </row>
    <row r="57" spans="2:15">
      <c r="B57" s="5"/>
      <c r="C57" s="31" t="s">
        <v>65</v>
      </c>
      <c r="D57" s="29"/>
      <c r="E57" s="29"/>
      <c r="F57" s="29"/>
      <c r="G57" s="29"/>
      <c r="H57" s="29"/>
      <c r="I57" s="29"/>
      <c r="J57" s="231">
        <v>0</v>
      </c>
      <c r="K57" s="232"/>
      <c r="L57" s="232"/>
      <c r="M57" s="232"/>
      <c r="N57" s="6"/>
      <c r="O57" s="6"/>
    </row>
    <row r="58" spans="2:15">
      <c r="B58" s="5"/>
      <c r="C58" s="31" t="s">
        <v>66</v>
      </c>
      <c r="D58" s="29"/>
      <c r="E58" s="29"/>
      <c r="F58" s="29"/>
      <c r="G58" s="29"/>
      <c r="H58" s="29"/>
      <c r="I58" s="29"/>
      <c r="J58" s="233">
        <v>15585500</v>
      </c>
      <c r="K58" s="234"/>
      <c r="L58" s="234"/>
      <c r="M58" s="234"/>
      <c r="N58" s="6"/>
      <c r="O58" s="6"/>
    </row>
    <row r="59" spans="2:15">
      <c r="B59" s="5"/>
      <c r="C59" s="283" t="s">
        <v>67</v>
      </c>
      <c r="D59" s="284"/>
      <c r="E59" s="284"/>
      <c r="F59" s="284"/>
      <c r="G59" s="284"/>
      <c r="H59" s="284"/>
      <c r="I59" s="284"/>
      <c r="J59" s="284"/>
      <c r="K59" s="284"/>
      <c r="L59" s="284"/>
      <c r="M59" s="284"/>
      <c r="N59" s="285"/>
      <c r="O59" s="6"/>
    </row>
    <row r="60" spans="2:15">
      <c r="B60" s="5"/>
      <c r="C60" s="34" t="s">
        <v>68</v>
      </c>
      <c r="D60" s="35"/>
      <c r="E60" s="35"/>
      <c r="F60" s="35"/>
      <c r="G60" s="35"/>
      <c r="H60" s="35"/>
      <c r="I60" s="35"/>
      <c r="J60" s="289">
        <f>SUM(J61:M62)</f>
        <v>0</v>
      </c>
      <c r="K60" s="290"/>
      <c r="L60" s="290"/>
      <c r="M60" s="290"/>
      <c r="N60" s="291"/>
      <c r="O60" s="6"/>
    </row>
    <row r="61" spans="2:15">
      <c r="B61" s="5"/>
      <c r="C61" s="31" t="s">
        <v>69</v>
      </c>
      <c r="D61" s="29"/>
      <c r="E61" s="29"/>
      <c r="F61" s="29"/>
      <c r="G61" s="29"/>
      <c r="H61" s="29"/>
      <c r="I61" s="29"/>
      <c r="J61" s="231">
        <v>0</v>
      </c>
      <c r="K61" s="232"/>
      <c r="L61" s="232"/>
      <c r="M61" s="232"/>
      <c r="N61" s="38"/>
      <c r="O61" s="6"/>
    </row>
    <row r="62" spans="2:15">
      <c r="B62" s="5"/>
      <c r="C62" s="31" t="s">
        <v>70</v>
      </c>
      <c r="D62" s="29"/>
      <c r="E62" s="29"/>
      <c r="F62" s="29"/>
      <c r="G62" s="29"/>
      <c r="H62" s="29"/>
      <c r="I62" s="29"/>
      <c r="J62" s="233">
        <v>0</v>
      </c>
      <c r="K62" s="234"/>
      <c r="L62" s="234"/>
      <c r="M62" s="234"/>
      <c r="N62" s="38"/>
      <c r="O62" s="6"/>
    </row>
    <row r="63" spans="2:15">
      <c r="B63" s="5"/>
      <c r="C63" s="34" t="s">
        <v>71</v>
      </c>
      <c r="D63" s="35"/>
      <c r="E63" s="35"/>
      <c r="F63" s="35"/>
      <c r="G63" s="35"/>
      <c r="H63" s="35"/>
      <c r="I63" s="36"/>
      <c r="J63" s="289">
        <f>SUM(J64:M65)</f>
        <v>312004.11000000004</v>
      </c>
      <c r="K63" s="290"/>
      <c r="L63" s="290"/>
      <c r="M63" s="290"/>
      <c r="N63" s="291"/>
      <c r="O63" s="6"/>
    </row>
    <row r="64" spans="2:15">
      <c r="B64" s="5"/>
      <c r="C64" s="31" t="s">
        <v>72</v>
      </c>
      <c r="D64" s="29"/>
      <c r="E64" s="29"/>
      <c r="F64" s="29"/>
      <c r="G64" s="29"/>
      <c r="H64" s="29"/>
      <c r="I64" s="39"/>
      <c r="J64" s="231">
        <v>312004.11000000004</v>
      </c>
      <c r="K64" s="232"/>
      <c r="L64" s="232"/>
      <c r="M64" s="232"/>
      <c r="N64" s="38"/>
      <c r="O64" s="6"/>
    </row>
    <row r="65" spans="2:15">
      <c r="B65" s="5"/>
      <c r="C65" s="40" t="s">
        <v>73</v>
      </c>
      <c r="D65" s="41"/>
      <c r="E65" s="41"/>
      <c r="F65" s="41"/>
      <c r="G65" s="41"/>
      <c r="H65" s="41"/>
      <c r="I65" s="42"/>
      <c r="J65" s="292">
        <v>0</v>
      </c>
      <c r="K65" s="293"/>
      <c r="L65" s="293"/>
      <c r="M65" s="293"/>
      <c r="N65" s="38"/>
      <c r="O65" s="6"/>
    </row>
    <row r="66" spans="2:15">
      <c r="B66" s="5"/>
      <c r="C66" s="34" t="s">
        <v>74</v>
      </c>
      <c r="D66" s="35"/>
      <c r="E66" s="35"/>
      <c r="F66" s="35"/>
      <c r="G66" s="35"/>
      <c r="H66" s="35"/>
      <c r="I66" s="36"/>
      <c r="J66" s="289">
        <f ca="1">SUM(J67:M69,J72,J75:M78)</f>
        <v>26733588.989158906</v>
      </c>
      <c r="K66" s="290"/>
      <c r="L66" s="290"/>
      <c r="M66" s="290"/>
      <c r="N66" s="291"/>
      <c r="O66" s="6"/>
    </row>
    <row r="67" spans="2:15">
      <c r="B67" s="5"/>
      <c r="C67" s="31" t="s">
        <v>75</v>
      </c>
      <c r="D67" s="29"/>
      <c r="E67" s="29"/>
      <c r="F67" s="29"/>
      <c r="G67" s="29"/>
      <c r="H67" s="29"/>
      <c r="I67" s="39"/>
      <c r="J67" s="231">
        <f ca="1">'Servicer Report'!J37</f>
        <v>9945271.7600000054</v>
      </c>
      <c r="K67" s="232"/>
      <c r="L67" s="232"/>
      <c r="M67" s="232"/>
      <c r="N67" s="43"/>
      <c r="O67" s="6"/>
    </row>
    <row r="68" spans="2:15">
      <c r="B68" s="5"/>
      <c r="C68" s="31" t="s">
        <v>76</v>
      </c>
      <c r="D68" s="29"/>
      <c r="E68" s="29"/>
      <c r="F68" s="29"/>
      <c r="G68" s="29"/>
      <c r="H68" s="29"/>
      <c r="I68" s="39"/>
      <c r="J68" s="231">
        <f ca="1">'Servicer Report'!J40</f>
        <v>0</v>
      </c>
      <c r="K68" s="232"/>
      <c r="L68" s="232"/>
      <c r="M68" s="232"/>
      <c r="N68" s="43"/>
      <c r="O68" s="6"/>
    </row>
    <row r="69" spans="2:15">
      <c r="B69" s="5"/>
      <c r="C69" s="31" t="s">
        <v>77</v>
      </c>
      <c r="D69" s="29"/>
      <c r="E69" s="29"/>
      <c r="F69" s="29"/>
      <c r="G69" s="29"/>
      <c r="H69" s="29"/>
      <c r="I69" s="39"/>
      <c r="J69" s="231">
        <f>SUM(J70:L71)</f>
        <v>0</v>
      </c>
      <c r="K69" s="232"/>
      <c r="L69" s="232"/>
      <c r="M69" s="232"/>
      <c r="N69" s="43"/>
      <c r="O69" s="6"/>
    </row>
    <row r="70" spans="2:15">
      <c r="B70" s="5"/>
      <c r="C70" s="44" t="s">
        <v>78</v>
      </c>
      <c r="D70" s="29"/>
      <c r="E70" s="29"/>
      <c r="F70" s="29"/>
      <c r="G70" s="29"/>
      <c r="H70" s="29"/>
      <c r="I70" s="39"/>
      <c r="J70" s="231">
        <v>0</v>
      </c>
      <c r="K70" s="232"/>
      <c r="L70" s="232"/>
      <c r="M70" s="45"/>
      <c r="N70" s="43"/>
      <c r="O70" s="6"/>
    </row>
    <row r="71" spans="2:15">
      <c r="B71" s="5"/>
      <c r="C71" s="44" t="s">
        <v>79</v>
      </c>
      <c r="D71" s="29"/>
      <c r="E71" s="29"/>
      <c r="F71" s="29"/>
      <c r="G71" s="29"/>
      <c r="H71" s="29"/>
      <c r="I71" s="39"/>
      <c r="J71" s="231">
        <v>0</v>
      </c>
      <c r="K71" s="232"/>
      <c r="L71" s="232"/>
      <c r="M71" s="45"/>
      <c r="N71" s="43"/>
      <c r="O71" s="6"/>
    </row>
    <row r="72" spans="2:15">
      <c r="B72" s="5"/>
      <c r="C72" s="31" t="s">
        <v>80</v>
      </c>
      <c r="D72" s="29"/>
      <c r="E72" s="29"/>
      <c r="F72" s="29"/>
      <c r="G72" s="29"/>
      <c r="H72" s="29"/>
      <c r="I72" s="39"/>
      <c r="J72" s="231">
        <f>SUM(J73:L74)</f>
        <v>0</v>
      </c>
      <c r="K72" s="232"/>
      <c r="L72" s="232"/>
      <c r="M72" s="232"/>
      <c r="N72" s="43"/>
      <c r="O72" s="6"/>
    </row>
    <row r="73" spans="2:15">
      <c r="B73" s="5"/>
      <c r="C73" s="44" t="s">
        <v>78</v>
      </c>
      <c r="D73" s="29"/>
      <c r="E73" s="29"/>
      <c r="F73" s="29"/>
      <c r="G73" s="29"/>
      <c r="H73" s="29"/>
      <c r="I73" s="39"/>
      <c r="J73" s="231">
        <v>0</v>
      </c>
      <c r="K73" s="232"/>
      <c r="L73" s="232"/>
      <c r="M73" s="45"/>
      <c r="N73" s="43"/>
      <c r="O73" s="6"/>
    </row>
    <row r="74" spans="2:15">
      <c r="B74" s="5"/>
      <c r="C74" s="44" t="s">
        <v>79</v>
      </c>
      <c r="D74" s="29"/>
      <c r="E74" s="29"/>
      <c r="F74" s="29"/>
      <c r="G74" s="29"/>
      <c r="H74" s="29"/>
      <c r="I74" s="39"/>
      <c r="J74" s="231">
        <v>0</v>
      </c>
      <c r="K74" s="232"/>
      <c r="L74" s="232"/>
      <c r="M74" s="45"/>
      <c r="N74" s="43"/>
      <c r="O74" s="6"/>
    </row>
    <row r="75" spans="2:15">
      <c r="B75" s="5"/>
      <c r="C75" s="31" t="s">
        <v>81</v>
      </c>
      <c r="D75" s="29"/>
      <c r="E75" s="29"/>
      <c r="F75" s="29"/>
      <c r="G75" s="29"/>
      <c r="H75" s="29"/>
      <c r="I75" s="39"/>
      <c r="J75" s="231">
        <v>0</v>
      </c>
      <c r="K75" s="232"/>
      <c r="L75" s="232"/>
      <c r="M75" s="232"/>
      <c r="N75" s="43"/>
      <c r="O75" s="6"/>
    </row>
    <row r="76" spans="2:15">
      <c r="B76" s="5"/>
      <c r="C76" s="31" t="s">
        <v>82</v>
      </c>
      <c r="D76" s="29"/>
      <c r="E76" s="29"/>
      <c r="F76" s="29"/>
      <c r="G76" s="29"/>
      <c r="H76" s="29"/>
      <c r="I76" s="39"/>
      <c r="J76" s="231">
        <f ca="1">'Servicer Report'!J38</f>
        <v>16548940.239999998</v>
      </c>
      <c r="K76" s="232"/>
      <c r="L76" s="232"/>
      <c r="M76" s="232"/>
      <c r="N76" s="43"/>
      <c r="O76" s="6"/>
    </row>
    <row r="77" spans="2:15">
      <c r="B77" s="5"/>
      <c r="C77" s="31" t="s">
        <v>83</v>
      </c>
      <c r="D77" s="29"/>
      <c r="E77" s="29"/>
      <c r="F77" s="29"/>
      <c r="G77" s="29"/>
      <c r="H77" s="29"/>
      <c r="I77" s="39"/>
      <c r="J77" s="231">
        <f ca="1">'Servicer Report'!J39</f>
        <v>0</v>
      </c>
      <c r="K77" s="232"/>
      <c r="L77" s="232"/>
      <c r="M77" s="232"/>
      <c r="N77" s="43"/>
      <c r="O77" s="6"/>
    </row>
    <row r="78" spans="2:15">
      <c r="B78" s="5"/>
      <c r="C78" s="40" t="s">
        <v>84</v>
      </c>
      <c r="D78" s="41"/>
      <c r="E78" s="41"/>
      <c r="F78" s="41"/>
      <c r="G78" s="41"/>
      <c r="H78" s="41"/>
      <c r="I78" s="42"/>
      <c r="J78" s="233">
        <v>239376.98915890418</v>
      </c>
      <c r="K78" s="234"/>
      <c r="L78" s="234"/>
      <c r="M78" s="234"/>
      <c r="N78" s="46"/>
      <c r="O78" s="6"/>
    </row>
    <row r="79" spans="2:15">
      <c r="B79" s="5"/>
      <c r="C79" s="47" t="s">
        <v>85</v>
      </c>
      <c r="D79" s="35"/>
      <c r="E79" s="35"/>
      <c r="F79" s="35"/>
      <c r="G79" s="35"/>
      <c r="H79" s="35"/>
      <c r="I79" s="36"/>
      <c r="J79" s="286">
        <f>0</f>
        <v>0</v>
      </c>
      <c r="K79" s="287"/>
      <c r="L79" s="287"/>
      <c r="M79" s="287"/>
      <c r="N79" s="288"/>
      <c r="O79" s="6"/>
    </row>
    <row r="80" spans="2:15">
      <c r="B80" s="5"/>
      <c r="C80" s="283" t="s">
        <v>86</v>
      </c>
      <c r="D80" s="284"/>
      <c r="E80" s="284"/>
      <c r="F80" s="284"/>
      <c r="G80" s="284"/>
      <c r="H80" s="284"/>
      <c r="I80" s="284"/>
      <c r="J80" s="284"/>
      <c r="K80" s="284"/>
      <c r="L80" s="284"/>
      <c r="M80" s="284"/>
      <c r="N80" s="285"/>
      <c r="O80" s="6"/>
    </row>
    <row r="81" spans="2:19">
      <c r="B81" s="5"/>
      <c r="C81" s="47" t="s">
        <v>87</v>
      </c>
      <c r="D81" s="35"/>
      <c r="E81" s="35"/>
      <c r="F81" s="35"/>
      <c r="G81" s="35"/>
      <c r="H81" s="35"/>
      <c r="I81" s="35"/>
      <c r="J81" s="280">
        <f ca="1">SUM(J82:M84,J87:M90)</f>
        <v>3335234.94</v>
      </c>
      <c r="K81" s="281"/>
      <c r="L81" s="281"/>
      <c r="M81" s="281"/>
      <c r="N81" s="282"/>
      <c r="O81" s="6"/>
      <c r="P81" s="48"/>
    </row>
    <row r="82" spans="2:19">
      <c r="B82" s="5"/>
      <c r="C82" s="31" t="s">
        <v>88</v>
      </c>
      <c r="D82" s="29"/>
      <c r="E82" s="29"/>
      <c r="F82" s="29"/>
      <c r="G82" s="29"/>
      <c r="H82" s="29"/>
      <c r="I82" s="29"/>
      <c r="J82" s="231">
        <v>0</v>
      </c>
      <c r="K82" s="232"/>
      <c r="L82" s="232"/>
      <c r="M82" s="232"/>
      <c r="N82" s="49"/>
      <c r="O82" s="6"/>
    </row>
    <row r="83" spans="2:19">
      <c r="B83" s="5"/>
      <c r="C83" s="31" t="s">
        <v>89</v>
      </c>
      <c r="D83" s="29"/>
      <c r="E83" s="29"/>
      <c r="F83" s="29"/>
      <c r="G83" s="29"/>
      <c r="H83" s="29"/>
      <c r="I83" s="29"/>
      <c r="J83" s="231">
        <v>0</v>
      </c>
      <c r="K83" s="232"/>
      <c r="L83" s="232"/>
      <c r="M83" s="232"/>
      <c r="N83" s="49"/>
      <c r="O83" s="6"/>
    </row>
    <row r="84" spans="2:19">
      <c r="B84" s="5"/>
      <c r="C84" s="31" t="s">
        <v>90</v>
      </c>
      <c r="D84" s="29"/>
      <c r="E84" s="29"/>
      <c r="F84" s="29"/>
      <c r="G84" s="29"/>
      <c r="H84" s="29"/>
      <c r="I84" s="29"/>
      <c r="J84" s="231">
        <f>SUM(J85:L86)</f>
        <v>0</v>
      </c>
      <c r="K84" s="232"/>
      <c r="L84" s="232"/>
      <c r="M84" s="232"/>
      <c r="N84" s="49"/>
      <c r="O84" s="6"/>
    </row>
    <row r="85" spans="2:19">
      <c r="B85" s="5"/>
      <c r="C85" s="44" t="s">
        <v>91</v>
      </c>
      <c r="D85" s="29"/>
      <c r="E85" s="29"/>
      <c r="F85" s="29"/>
      <c r="G85" s="29"/>
      <c r="H85" s="29"/>
      <c r="I85" s="29"/>
      <c r="J85" s="231">
        <v>0</v>
      </c>
      <c r="K85" s="232"/>
      <c r="L85" s="232"/>
      <c r="M85" s="50"/>
      <c r="N85" s="49"/>
      <c r="O85" s="6"/>
    </row>
    <row r="86" spans="2:19">
      <c r="B86" s="5"/>
      <c r="C86" s="44" t="s">
        <v>92</v>
      </c>
      <c r="D86" s="29"/>
      <c r="E86" s="29"/>
      <c r="F86" s="29"/>
      <c r="G86" s="29"/>
      <c r="H86" s="29"/>
      <c r="I86" s="29"/>
      <c r="J86" s="231">
        <v>0</v>
      </c>
      <c r="K86" s="232"/>
      <c r="L86" s="232"/>
      <c r="M86" s="51"/>
      <c r="N86" s="49"/>
      <c r="O86" s="6"/>
    </row>
    <row r="87" spans="2:19">
      <c r="B87" s="5"/>
      <c r="C87" s="31" t="s">
        <v>93</v>
      </c>
      <c r="D87" s="29"/>
      <c r="E87" s="29"/>
      <c r="F87" s="29"/>
      <c r="G87" s="29"/>
      <c r="H87" s="29"/>
      <c r="I87" s="29"/>
      <c r="J87" s="231">
        <f ca="1">'Servicer Report'!J29</f>
        <v>3335234.94</v>
      </c>
      <c r="K87" s="232"/>
      <c r="L87" s="232"/>
      <c r="M87" s="232"/>
      <c r="N87" s="49"/>
      <c r="O87" s="6"/>
    </row>
    <row r="88" spans="2:19">
      <c r="B88" s="5"/>
      <c r="C88" s="31" t="s">
        <v>94</v>
      </c>
      <c r="D88" s="29"/>
      <c r="E88" s="29"/>
      <c r="F88" s="29"/>
      <c r="G88" s="29"/>
      <c r="H88" s="29"/>
      <c r="I88" s="29"/>
      <c r="J88" s="231">
        <v>0</v>
      </c>
      <c r="K88" s="232"/>
      <c r="L88" s="232"/>
      <c r="M88" s="232"/>
      <c r="N88" s="49"/>
      <c r="O88" s="6"/>
    </row>
    <row r="89" spans="2:19">
      <c r="B89" s="5"/>
      <c r="C89" s="31" t="s">
        <v>95</v>
      </c>
      <c r="D89" s="29"/>
      <c r="E89" s="29"/>
      <c r="F89" s="29"/>
      <c r="G89" s="29"/>
      <c r="H89" s="29"/>
      <c r="I89" s="29"/>
      <c r="J89" s="231">
        <v>0</v>
      </c>
      <c r="K89" s="232"/>
      <c r="L89" s="232"/>
      <c r="M89" s="232"/>
      <c r="N89" s="49"/>
      <c r="O89" s="6"/>
    </row>
    <row r="90" spans="2:19">
      <c r="B90" s="5"/>
      <c r="C90" s="40" t="s">
        <v>96</v>
      </c>
      <c r="D90" s="41"/>
      <c r="E90" s="41"/>
      <c r="F90" s="41"/>
      <c r="G90" s="41"/>
      <c r="H90" s="41"/>
      <c r="I90" s="41"/>
      <c r="J90" s="233">
        <v>0</v>
      </c>
      <c r="K90" s="234"/>
      <c r="L90" s="234"/>
      <c r="M90" s="234"/>
      <c r="N90" s="52"/>
      <c r="O90" s="6"/>
    </row>
    <row r="91" spans="2:19">
      <c r="B91" s="5"/>
      <c r="C91" s="283" t="s">
        <v>97</v>
      </c>
      <c r="D91" s="284"/>
      <c r="E91" s="284"/>
      <c r="F91" s="284"/>
      <c r="G91" s="284"/>
      <c r="H91" s="284"/>
      <c r="I91" s="284"/>
      <c r="J91" s="284"/>
      <c r="K91" s="284"/>
      <c r="L91" s="284"/>
      <c r="M91" s="284"/>
      <c r="N91" s="285"/>
      <c r="O91" s="6"/>
    </row>
    <row r="92" spans="2:19">
      <c r="B92" s="5"/>
      <c r="C92" s="53" t="s">
        <v>98</v>
      </c>
      <c r="D92" s="29"/>
      <c r="E92" s="29"/>
      <c r="F92" s="29"/>
      <c r="G92" s="29"/>
      <c r="H92" s="29"/>
      <c r="I92" s="29"/>
      <c r="J92" s="280">
        <f ca="1">SUM(J93:M96)</f>
        <v>44061222.81492123</v>
      </c>
      <c r="K92" s="281"/>
      <c r="L92" s="281"/>
      <c r="M92" s="281"/>
      <c r="N92" s="282"/>
      <c r="O92" s="6"/>
      <c r="S92" s="54"/>
    </row>
    <row r="93" spans="2:19">
      <c r="B93" s="5"/>
      <c r="C93" s="31" t="s">
        <v>99</v>
      </c>
      <c r="D93" s="29"/>
      <c r="E93" s="29"/>
      <c r="F93" s="29"/>
      <c r="G93" s="29"/>
      <c r="H93" s="29"/>
      <c r="I93" s="29"/>
      <c r="J93" s="231">
        <f>J56</f>
        <v>4765364.655762326</v>
      </c>
      <c r="K93" s="232"/>
      <c r="L93" s="232"/>
      <c r="M93" s="232"/>
      <c r="N93" s="6"/>
      <c r="O93" s="6"/>
    </row>
    <row r="94" spans="2:19">
      <c r="B94" s="5"/>
      <c r="C94" s="31" t="s">
        <v>100</v>
      </c>
      <c r="D94" s="29"/>
      <c r="E94" s="29"/>
      <c r="F94" s="29"/>
      <c r="G94" s="29"/>
      <c r="H94" s="29"/>
      <c r="I94" s="29"/>
      <c r="J94" s="231">
        <f ca="1">J60+J63+J66-J81</f>
        <v>23710358.159158904</v>
      </c>
      <c r="K94" s="232"/>
      <c r="L94" s="232"/>
      <c r="M94" s="232"/>
      <c r="N94" s="6"/>
      <c r="O94" s="6"/>
      <c r="Q94" s="55"/>
      <c r="S94" s="54"/>
    </row>
    <row r="95" spans="2:19">
      <c r="B95" s="5"/>
      <c r="C95" s="31" t="s">
        <v>65</v>
      </c>
      <c r="D95" s="29"/>
      <c r="E95" s="29"/>
      <c r="F95" s="29"/>
      <c r="G95" s="29"/>
      <c r="H95" s="29"/>
      <c r="I95" s="29"/>
      <c r="J95" s="231">
        <f>I201</f>
        <v>0</v>
      </c>
      <c r="K95" s="232"/>
      <c r="L95" s="232"/>
      <c r="M95" s="232"/>
      <c r="N95" s="6"/>
      <c r="O95" s="6"/>
      <c r="S95" s="48"/>
    </row>
    <row r="96" spans="2:19" ht="15" thickBot="1">
      <c r="B96" s="5"/>
      <c r="C96" s="56" t="s">
        <v>66</v>
      </c>
      <c r="D96" s="57"/>
      <c r="E96" s="57"/>
      <c r="F96" s="57"/>
      <c r="G96" s="57"/>
      <c r="H96" s="57"/>
      <c r="I96" s="57"/>
      <c r="J96" s="217">
        <v>15585500</v>
      </c>
      <c r="K96" s="218"/>
      <c r="L96" s="218"/>
      <c r="M96" s="218"/>
      <c r="N96" s="58"/>
      <c r="O96" s="6"/>
      <c r="Q96" s="55"/>
    </row>
    <row r="97" spans="2:19" ht="15" thickBot="1">
      <c r="B97" s="5"/>
      <c r="C97" s="59"/>
      <c r="D97" s="7"/>
      <c r="E97" s="7"/>
      <c r="F97" s="7"/>
      <c r="G97" s="7"/>
      <c r="H97" s="7"/>
      <c r="I97" s="7"/>
      <c r="J97" s="7"/>
      <c r="K97" s="7"/>
      <c r="L97" s="7"/>
      <c r="M97" s="7"/>
      <c r="N97" s="7"/>
      <c r="O97" s="6"/>
      <c r="S97" s="48"/>
    </row>
    <row r="98" spans="2:19">
      <c r="B98" s="5"/>
      <c r="C98" s="224" t="s">
        <v>101</v>
      </c>
      <c r="D98" s="225"/>
      <c r="E98" s="225"/>
      <c r="F98" s="225"/>
      <c r="G98" s="225"/>
      <c r="H98" s="225"/>
      <c r="I98" s="225"/>
      <c r="J98" s="225"/>
      <c r="K98" s="225"/>
      <c r="L98" s="225"/>
      <c r="M98" s="225"/>
      <c r="N98" s="226"/>
      <c r="O98" s="6"/>
    </row>
    <row r="99" spans="2:19">
      <c r="B99" s="5"/>
      <c r="C99" s="47" t="s">
        <v>102</v>
      </c>
      <c r="D99" s="60"/>
      <c r="E99" s="60"/>
      <c r="F99" s="60"/>
      <c r="G99" s="60"/>
      <c r="H99" s="60"/>
      <c r="I99" s="61"/>
      <c r="J99" s="280">
        <f ca="1">J100+J101+J102-J103+J104+J105</f>
        <v>6610036.8200000059</v>
      </c>
      <c r="K99" s="281"/>
      <c r="L99" s="281"/>
      <c r="M99" s="281"/>
      <c r="N99" s="282"/>
      <c r="O99" s="6"/>
    </row>
    <row r="100" spans="2:19">
      <c r="B100" s="5"/>
      <c r="C100" s="31" t="s">
        <v>103</v>
      </c>
      <c r="D100" s="29"/>
      <c r="E100" s="29"/>
      <c r="F100" s="29"/>
      <c r="G100" s="29"/>
      <c r="H100" s="29"/>
      <c r="I100" s="39"/>
      <c r="J100" s="231">
        <f ca="1">J67+J68</f>
        <v>9945271.7600000054</v>
      </c>
      <c r="K100" s="232"/>
      <c r="L100" s="232"/>
      <c r="M100" s="232"/>
      <c r="N100" s="62"/>
      <c r="O100" s="6"/>
    </row>
    <row r="101" spans="2:19">
      <c r="B101" s="5"/>
      <c r="C101" s="31" t="s">
        <v>104</v>
      </c>
      <c r="D101" s="29"/>
      <c r="E101" s="29"/>
      <c r="F101" s="29"/>
      <c r="G101" s="29"/>
      <c r="H101" s="29"/>
      <c r="I101" s="39"/>
      <c r="J101" s="231">
        <v>0</v>
      </c>
      <c r="K101" s="232"/>
      <c r="L101" s="232"/>
      <c r="M101" s="232"/>
      <c r="N101" s="43"/>
      <c r="O101" s="6"/>
    </row>
    <row r="102" spans="2:19">
      <c r="B102" s="5"/>
      <c r="C102" s="31" t="s">
        <v>105</v>
      </c>
      <c r="D102" s="29"/>
      <c r="E102" s="29"/>
      <c r="F102" s="29"/>
      <c r="G102" s="29"/>
      <c r="H102" s="29"/>
      <c r="I102" s="39"/>
      <c r="J102" s="232">
        <v>0</v>
      </c>
      <c r="K102" s="232"/>
      <c r="L102" s="232"/>
      <c r="M102" s="232"/>
      <c r="N102" s="43"/>
      <c r="O102" s="6"/>
    </row>
    <row r="103" spans="2:19">
      <c r="B103" s="5"/>
      <c r="C103" s="31" t="s">
        <v>106</v>
      </c>
      <c r="D103" s="29"/>
      <c r="E103" s="29"/>
      <c r="F103" s="29"/>
      <c r="G103" s="29"/>
      <c r="H103" s="29"/>
      <c r="I103" s="39"/>
      <c r="J103" s="231">
        <f ca="1">'Servicer Report'!J29</f>
        <v>3335234.94</v>
      </c>
      <c r="K103" s="232"/>
      <c r="L103" s="232"/>
      <c r="M103" s="232"/>
      <c r="N103" s="43"/>
      <c r="O103" s="6"/>
    </row>
    <row r="104" spans="2:19">
      <c r="B104" s="5"/>
      <c r="C104" s="31" t="s">
        <v>107</v>
      </c>
      <c r="D104" s="29"/>
      <c r="E104" s="29"/>
      <c r="F104" s="29"/>
      <c r="G104" s="29"/>
      <c r="H104" s="29"/>
      <c r="I104" s="39"/>
      <c r="J104" s="231">
        <v>0</v>
      </c>
      <c r="K104" s="232"/>
      <c r="L104" s="232"/>
      <c r="M104" s="232"/>
      <c r="N104" s="43"/>
      <c r="O104" s="6"/>
    </row>
    <row r="105" spans="2:19" ht="15" thickBot="1">
      <c r="B105" s="5"/>
      <c r="C105" s="56" t="s">
        <v>108</v>
      </c>
      <c r="D105" s="57"/>
      <c r="E105" s="57"/>
      <c r="F105" s="57"/>
      <c r="G105" s="57"/>
      <c r="H105" s="57"/>
      <c r="I105" s="63"/>
      <c r="J105" s="278">
        <v>0</v>
      </c>
      <c r="K105" s="279"/>
      <c r="L105" s="279"/>
      <c r="M105" s="279"/>
      <c r="N105" s="64"/>
      <c r="O105" s="6"/>
    </row>
    <row r="106" spans="2:19" ht="15" thickBot="1">
      <c r="B106" s="5"/>
      <c r="C106" s="59"/>
      <c r="D106" s="7"/>
      <c r="E106" s="7"/>
      <c r="F106" s="7"/>
      <c r="G106" s="7"/>
      <c r="H106" s="7"/>
      <c r="I106" s="7"/>
      <c r="J106" s="65"/>
      <c r="K106" s="65"/>
      <c r="L106" s="65"/>
      <c r="M106" s="65"/>
      <c r="N106" s="66"/>
      <c r="O106" s="6"/>
    </row>
    <row r="107" spans="2:19">
      <c r="B107" s="5"/>
      <c r="C107" s="224" t="s">
        <v>109</v>
      </c>
      <c r="D107" s="225"/>
      <c r="E107" s="225"/>
      <c r="F107" s="225"/>
      <c r="G107" s="225"/>
      <c r="H107" s="225"/>
      <c r="I107" s="225"/>
      <c r="J107" s="225"/>
      <c r="K107" s="225"/>
      <c r="L107" s="225"/>
      <c r="M107" s="225"/>
      <c r="N107" s="226"/>
      <c r="O107" s="6"/>
    </row>
    <row r="108" spans="2:19">
      <c r="B108" s="5"/>
      <c r="C108" s="67" t="s">
        <v>110</v>
      </c>
      <c r="D108" s="12"/>
      <c r="E108" s="12"/>
      <c r="F108" s="12"/>
      <c r="G108" s="12"/>
      <c r="H108" s="13"/>
      <c r="I108" s="263">
        <f ca="1">J99</f>
        <v>6610036.8200000059</v>
      </c>
      <c r="J108" s="264"/>
      <c r="K108" s="264"/>
      <c r="L108" s="264"/>
      <c r="M108" s="264"/>
      <c r="N108" s="265"/>
      <c r="O108" s="6"/>
    </row>
    <row r="109" spans="2:19">
      <c r="B109" s="5"/>
      <c r="C109" s="68" t="s">
        <v>111</v>
      </c>
      <c r="D109" s="19"/>
      <c r="E109" s="19"/>
      <c r="F109" s="19"/>
      <c r="G109" s="19"/>
      <c r="H109" s="21"/>
      <c r="I109" s="266">
        <f ca="1">I156</f>
        <v>29777510.917727575</v>
      </c>
      <c r="J109" s="267"/>
      <c r="K109" s="267"/>
      <c r="L109" s="267"/>
      <c r="M109" s="267"/>
      <c r="N109" s="268"/>
      <c r="O109" s="6"/>
    </row>
    <row r="110" spans="2:19" ht="15" thickBot="1">
      <c r="B110" s="5"/>
      <c r="C110" s="69" t="s">
        <v>112</v>
      </c>
      <c r="D110" s="26"/>
      <c r="E110" s="26"/>
      <c r="F110" s="26"/>
      <c r="G110" s="26"/>
      <c r="H110" s="70"/>
      <c r="I110" s="269">
        <f ca="1">MAX(I108-I109,0)</f>
        <v>0</v>
      </c>
      <c r="J110" s="270"/>
      <c r="K110" s="270"/>
      <c r="L110" s="270"/>
      <c r="M110" s="270"/>
      <c r="N110" s="271"/>
      <c r="O110" s="6"/>
    </row>
    <row r="111" spans="2:19" ht="15" thickBot="1">
      <c r="B111" s="5"/>
      <c r="C111" s="59"/>
      <c r="D111" s="7"/>
      <c r="E111" s="7"/>
      <c r="F111" s="7"/>
      <c r="G111" s="7"/>
      <c r="H111" s="7"/>
      <c r="I111" s="7"/>
      <c r="J111" s="65"/>
      <c r="K111" s="65"/>
      <c r="L111" s="65"/>
      <c r="M111" s="65"/>
      <c r="N111" s="66"/>
      <c r="O111" s="6"/>
    </row>
    <row r="112" spans="2:19">
      <c r="B112" s="5"/>
      <c r="C112" s="224" t="s">
        <v>113</v>
      </c>
      <c r="D112" s="225"/>
      <c r="E112" s="225"/>
      <c r="F112" s="225"/>
      <c r="G112" s="225"/>
      <c r="H112" s="225"/>
      <c r="I112" s="225"/>
      <c r="J112" s="225"/>
      <c r="K112" s="225"/>
      <c r="L112" s="225"/>
      <c r="M112" s="225"/>
      <c r="N112" s="226"/>
      <c r="O112" s="6"/>
    </row>
    <row r="113" spans="2:15">
      <c r="B113" s="5"/>
      <c r="C113" s="71"/>
      <c r="D113" s="72"/>
      <c r="E113" s="72"/>
      <c r="F113" s="72"/>
      <c r="G113" s="272" t="s">
        <v>114</v>
      </c>
      <c r="H113" s="273"/>
      <c r="I113" s="274" t="s">
        <v>115</v>
      </c>
      <c r="J113" s="275"/>
      <c r="K113" s="274" t="s">
        <v>116</v>
      </c>
      <c r="L113" s="275"/>
      <c r="M113" s="276" t="s">
        <v>117</v>
      </c>
      <c r="N113" s="277"/>
      <c r="O113" s="6"/>
    </row>
    <row r="114" spans="2:15">
      <c r="B114" s="5"/>
      <c r="C114" s="68" t="s">
        <v>118</v>
      </c>
      <c r="D114" s="27"/>
      <c r="E114" s="27"/>
      <c r="F114" s="27"/>
      <c r="G114" s="257">
        <v>0</v>
      </c>
      <c r="H114" s="258"/>
      <c r="I114" s="257">
        <v>0</v>
      </c>
      <c r="J114" s="258"/>
      <c r="K114" s="257" t="s">
        <v>119</v>
      </c>
      <c r="L114" s="258"/>
      <c r="M114" s="257" t="s">
        <v>119</v>
      </c>
      <c r="N114" s="259"/>
      <c r="O114" s="6"/>
    </row>
    <row r="115" spans="2:15" ht="15" thickBot="1">
      <c r="B115" s="5"/>
      <c r="C115" s="69" t="s">
        <v>120</v>
      </c>
      <c r="D115" s="57"/>
      <c r="E115" s="57"/>
      <c r="F115" s="57"/>
      <c r="G115" s="260">
        <v>0</v>
      </c>
      <c r="H115" s="261"/>
      <c r="I115" s="260">
        <v>0</v>
      </c>
      <c r="J115" s="261"/>
      <c r="K115" s="260" t="s">
        <v>119</v>
      </c>
      <c r="L115" s="261"/>
      <c r="M115" s="260" t="s">
        <v>119</v>
      </c>
      <c r="N115" s="262"/>
      <c r="O115" s="6"/>
    </row>
    <row r="116" spans="2:15" ht="15" thickBot="1">
      <c r="B116" s="5"/>
      <c r="C116" s="59"/>
      <c r="D116" s="7"/>
      <c r="E116" s="7"/>
      <c r="F116" s="7"/>
      <c r="G116" s="7"/>
      <c r="H116" s="7"/>
      <c r="I116" s="7"/>
      <c r="J116" s="7"/>
      <c r="K116" s="7"/>
      <c r="L116" s="7"/>
      <c r="M116" s="7"/>
      <c r="N116" s="7"/>
      <c r="O116" s="6"/>
    </row>
    <row r="117" spans="2:15">
      <c r="B117" s="5"/>
      <c r="C117" s="224" t="s">
        <v>121</v>
      </c>
      <c r="D117" s="225"/>
      <c r="E117" s="225"/>
      <c r="F117" s="225"/>
      <c r="G117" s="225"/>
      <c r="H117" s="225"/>
      <c r="I117" s="225"/>
      <c r="J117" s="225"/>
      <c r="K117" s="225"/>
      <c r="L117" s="225"/>
      <c r="M117" s="225"/>
      <c r="N117" s="226"/>
      <c r="O117" s="6"/>
    </row>
    <row r="118" spans="2:15">
      <c r="B118" s="5"/>
      <c r="C118" s="31" t="s">
        <v>122</v>
      </c>
      <c r="D118" s="29"/>
      <c r="E118" s="29"/>
      <c r="F118" s="29"/>
      <c r="G118" s="29"/>
      <c r="H118" s="29"/>
      <c r="I118" s="39"/>
      <c r="J118" s="243" t="s">
        <v>123</v>
      </c>
      <c r="K118" s="244"/>
      <c r="L118" s="244"/>
      <c r="M118" s="244"/>
      <c r="N118" s="73"/>
      <c r="O118" s="6"/>
    </row>
    <row r="119" spans="2:15">
      <c r="B119" s="5"/>
      <c r="C119" s="31" t="s">
        <v>124</v>
      </c>
      <c r="D119" s="29"/>
      <c r="E119" s="29"/>
      <c r="F119" s="29"/>
      <c r="G119" s="29"/>
      <c r="H119" s="29"/>
      <c r="I119" s="39"/>
      <c r="J119" s="243" t="s">
        <v>123</v>
      </c>
      <c r="K119" s="244"/>
      <c r="L119" s="244"/>
      <c r="M119" s="244"/>
      <c r="N119" s="73"/>
      <c r="O119" s="6"/>
    </row>
    <row r="120" spans="2:15">
      <c r="B120" s="5"/>
      <c r="C120" s="31" t="s">
        <v>125</v>
      </c>
      <c r="D120" s="29"/>
      <c r="E120" s="29"/>
      <c r="F120" s="29"/>
      <c r="G120" s="29"/>
      <c r="H120" s="29"/>
      <c r="I120" s="39"/>
      <c r="J120" s="243" t="s">
        <v>119</v>
      </c>
      <c r="K120" s="244"/>
      <c r="L120" s="244"/>
      <c r="M120" s="244"/>
      <c r="N120" s="73"/>
      <c r="O120" s="6"/>
    </row>
    <row r="121" spans="2:15">
      <c r="B121" s="5"/>
      <c r="C121" s="67" t="s">
        <v>126</v>
      </c>
      <c r="D121" s="41"/>
      <c r="E121" s="41"/>
      <c r="F121" s="41"/>
      <c r="G121" s="41"/>
      <c r="H121" s="41"/>
      <c r="I121" s="42"/>
      <c r="J121" s="240" t="s">
        <v>123</v>
      </c>
      <c r="K121" s="241"/>
      <c r="L121" s="241"/>
      <c r="M121" s="241"/>
      <c r="N121" s="242"/>
      <c r="O121" s="6"/>
    </row>
    <row r="122" spans="2:15">
      <c r="B122" s="5"/>
      <c r="C122" s="74" t="s">
        <v>127</v>
      </c>
      <c r="D122" s="35"/>
      <c r="E122" s="35"/>
      <c r="F122" s="35"/>
      <c r="G122" s="35"/>
      <c r="H122" s="35"/>
      <c r="I122" s="75"/>
      <c r="J122" s="255" t="s">
        <v>123</v>
      </c>
      <c r="K122" s="256"/>
      <c r="L122" s="256"/>
      <c r="M122" s="256"/>
      <c r="N122" s="76"/>
      <c r="O122" s="6"/>
    </row>
    <row r="123" spans="2:15">
      <c r="B123" s="5"/>
      <c r="C123" s="44" t="s">
        <v>128</v>
      </c>
      <c r="D123" s="29"/>
      <c r="E123" s="29"/>
      <c r="F123" s="29"/>
      <c r="G123" s="29"/>
      <c r="H123" s="29"/>
      <c r="I123" s="77"/>
      <c r="J123" s="253" t="s">
        <v>123</v>
      </c>
      <c r="K123" s="254"/>
      <c r="L123" s="254"/>
      <c r="M123" s="78"/>
      <c r="N123" s="79"/>
      <c r="O123" s="6"/>
    </row>
    <row r="124" spans="2:15">
      <c r="B124" s="5"/>
      <c r="C124" s="44" t="s">
        <v>129</v>
      </c>
      <c r="D124" s="29"/>
      <c r="E124" s="29"/>
      <c r="F124" s="29"/>
      <c r="G124" s="29"/>
      <c r="H124" s="29"/>
      <c r="I124" s="77"/>
      <c r="J124" s="238" t="s">
        <v>123</v>
      </c>
      <c r="K124" s="239"/>
      <c r="L124" s="239"/>
      <c r="M124" s="78"/>
      <c r="N124" s="79"/>
      <c r="O124" s="6"/>
    </row>
    <row r="125" spans="2:15">
      <c r="B125" s="5"/>
      <c r="C125" s="44" t="s">
        <v>130</v>
      </c>
      <c r="D125" s="29"/>
      <c r="E125" s="29"/>
      <c r="F125" s="29"/>
      <c r="G125" s="29"/>
      <c r="H125" s="29"/>
      <c r="I125" s="77"/>
      <c r="J125" s="238" t="s">
        <v>119</v>
      </c>
      <c r="K125" s="239"/>
      <c r="L125" s="239"/>
      <c r="M125" s="78"/>
      <c r="N125" s="79"/>
      <c r="O125" s="6"/>
    </row>
    <row r="126" spans="2:15">
      <c r="B126" s="5"/>
      <c r="C126" s="44" t="s">
        <v>131</v>
      </c>
      <c r="D126" s="29"/>
      <c r="E126" s="29"/>
      <c r="F126" s="29"/>
      <c r="G126" s="29"/>
      <c r="H126" s="29"/>
      <c r="I126" s="77"/>
      <c r="J126" s="238" t="s">
        <v>119</v>
      </c>
      <c r="K126" s="239"/>
      <c r="L126" s="239"/>
      <c r="M126" s="78"/>
      <c r="N126" s="79"/>
      <c r="O126" s="6"/>
    </row>
    <row r="127" spans="2:15">
      <c r="B127" s="5"/>
      <c r="C127" s="44" t="s">
        <v>132</v>
      </c>
      <c r="D127" s="29"/>
      <c r="E127" s="29"/>
      <c r="F127" s="29"/>
      <c r="G127" s="29"/>
      <c r="H127" s="29"/>
      <c r="I127" s="77"/>
      <c r="J127" s="238" t="s">
        <v>119</v>
      </c>
      <c r="K127" s="239"/>
      <c r="L127" s="239"/>
      <c r="M127" s="78"/>
      <c r="N127" s="79"/>
      <c r="O127" s="6"/>
    </row>
    <row r="128" spans="2:15">
      <c r="B128" s="5"/>
      <c r="C128" s="44" t="s">
        <v>133</v>
      </c>
      <c r="D128" s="29"/>
      <c r="E128" s="29"/>
      <c r="F128" s="29"/>
      <c r="G128" s="29"/>
      <c r="H128" s="29"/>
      <c r="I128" s="77"/>
      <c r="J128" s="238" t="s">
        <v>119</v>
      </c>
      <c r="K128" s="239"/>
      <c r="L128" s="239"/>
      <c r="M128" s="78"/>
      <c r="N128" s="79"/>
      <c r="O128" s="6"/>
    </row>
    <row r="129" spans="2:15">
      <c r="B129" s="5"/>
      <c r="C129" s="44" t="s">
        <v>134</v>
      </c>
      <c r="D129" s="29"/>
      <c r="E129" s="29"/>
      <c r="F129" s="29"/>
      <c r="G129" s="29"/>
      <c r="H129" s="29"/>
      <c r="I129" s="77"/>
      <c r="J129" s="238" t="s">
        <v>119</v>
      </c>
      <c r="K129" s="239"/>
      <c r="L129" s="239"/>
      <c r="M129" s="78"/>
      <c r="N129" s="79"/>
      <c r="O129" s="6"/>
    </row>
    <row r="130" spans="2:15">
      <c r="B130" s="5"/>
      <c r="C130" s="67" t="s">
        <v>135</v>
      </c>
      <c r="D130" s="41"/>
      <c r="E130" s="41"/>
      <c r="F130" s="41"/>
      <c r="G130" s="41"/>
      <c r="H130" s="41"/>
      <c r="I130" s="80"/>
      <c r="J130" s="240" t="s">
        <v>123</v>
      </c>
      <c r="K130" s="241"/>
      <c r="L130" s="241"/>
      <c r="M130" s="241"/>
      <c r="N130" s="242"/>
      <c r="O130" s="6"/>
    </row>
    <row r="131" spans="2:15">
      <c r="B131" s="5"/>
      <c r="C131" s="74" t="s">
        <v>136</v>
      </c>
      <c r="D131" s="35"/>
      <c r="E131" s="35"/>
      <c r="F131" s="35"/>
      <c r="G131" s="35"/>
      <c r="H131" s="35"/>
      <c r="I131" s="75"/>
      <c r="J131" s="243" t="s">
        <v>123</v>
      </c>
      <c r="K131" s="244"/>
      <c r="L131" s="244"/>
      <c r="M131" s="244"/>
      <c r="N131" s="76"/>
      <c r="O131" s="6"/>
    </row>
    <row r="132" spans="2:15" ht="15" thickBot="1">
      <c r="B132" s="5"/>
      <c r="C132" s="69" t="s">
        <v>137</v>
      </c>
      <c r="D132" s="57"/>
      <c r="E132" s="57"/>
      <c r="F132" s="57"/>
      <c r="G132" s="57"/>
      <c r="H132" s="57"/>
      <c r="I132" s="81"/>
      <c r="J132" s="240" t="s">
        <v>123</v>
      </c>
      <c r="K132" s="241"/>
      <c r="L132" s="241"/>
      <c r="M132" s="241"/>
      <c r="N132" s="242"/>
      <c r="O132" s="6"/>
    </row>
    <row r="133" spans="2:15" ht="15" thickBot="1">
      <c r="B133" s="5"/>
      <c r="C133" s="59"/>
      <c r="D133" s="7"/>
      <c r="E133" s="7"/>
      <c r="F133" s="7"/>
      <c r="G133" s="7"/>
      <c r="H133" s="7"/>
      <c r="I133" s="7"/>
      <c r="J133" s="7"/>
      <c r="K133" s="7"/>
      <c r="L133" s="7"/>
      <c r="M133" s="7"/>
      <c r="N133" s="7"/>
      <c r="O133" s="6"/>
    </row>
    <row r="134" spans="2:15">
      <c r="B134" s="5"/>
      <c r="C134" s="224" t="s">
        <v>138</v>
      </c>
      <c r="D134" s="225"/>
      <c r="E134" s="225"/>
      <c r="F134" s="225"/>
      <c r="G134" s="225"/>
      <c r="H134" s="225"/>
      <c r="I134" s="225"/>
      <c r="J134" s="225"/>
      <c r="K134" s="225"/>
      <c r="L134" s="225"/>
      <c r="M134" s="225"/>
      <c r="N134" s="226"/>
      <c r="O134" s="6"/>
    </row>
    <row r="135" spans="2:15" ht="45.75" customHeight="1">
      <c r="B135" s="5"/>
      <c r="C135" s="245" t="s">
        <v>139</v>
      </c>
      <c r="D135" s="246"/>
      <c r="E135" s="247"/>
      <c r="F135" s="248" t="s">
        <v>140</v>
      </c>
      <c r="G135" s="199"/>
      <c r="H135" s="200"/>
      <c r="I135" s="249" t="s">
        <v>141</v>
      </c>
      <c r="J135" s="250"/>
      <c r="K135" s="251"/>
      <c r="L135" s="248" t="s">
        <v>142</v>
      </c>
      <c r="M135" s="199"/>
      <c r="N135" s="252"/>
      <c r="O135" s="6"/>
    </row>
    <row r="136" spans="2:15">
      <c r="B136" s="5"/>
      <c r="C136" s="68" t="s">
        <v>143</v>
      </c>
      <c r="D136" s="27"/>
      <c r="E136" s="27"/>
      <c r="F136" s="228">
        <v>2550165.4300000002</v>
      </c>
      <c r="G136" s="229"/>
      <c r="H136" s="229"/>
      <c r="I136" s="208">
        <f ca="1">J92</f>
        <v>44061222.81492123</v>
      </c>
      <c r="J136" s="209"/>
      <c r="K136" s="227"/>
      <c r="L136" s="229">
        <f>F136</f>
        <v>2550165.4300000002</v>
      </c>
      <c r="M136" s="229"/>
      <c r="N136" s="230"/>
      <c r="O136" s="6"/>
    </row>
    <row r="137" spans="2:15">
      <c r="B137" s="5"/>
      <c r="C137" s="47" t="s">
        <v>144</v>
      </c>
      <c r="D137" s="35"/>
      <c r="E137" s="35"/>
      <c r="F137" s="228">
        <f>SUM(F138:G139)</f>
        <v>74175</v>
      </c>
      <c r="G137" s="229"/>
      <c r="H137" s="229"/>
      <c r="I137" s="228">
        <f ca="1">I136-L136</f>
        <v>41511057.38492123</v>
      </c>
      <c r="J137" s="229"/>
      <c r="K137" s="235"/>
      <c r="L137" s="229">
        <f>SUM(L138:M139)</f>
        <v>74175</v>
      </c>
      <c r="M137" s="229"/>
      <c r="N137" s="230"/>
      <c r="O137" s="6"/>
    </row>
    <row r="138" spans="2:15">
      <c r="B138" s="5"/>
      <c r="C138" s="31" t="s">
        <v>145</v>
      </c>
      <c r="D138" s="29"/>
      <c r="E138" s="29"/>
      <c r="F138" s="231">
        <f>SUM(7187.5,4312.5,2300)</f>
        <v>13800</v>
      </c>
      <c r="G138" s="232"/>
      <c r="H138" s="82"/>
      <c r="I138" s="231">
        <f ca="1">I137*F138/$F$137</f>
        <v>7722987.4204504611</v>
      </c>
      <c r="J138" s="232"/>
      <c r="K138" s="83"/>
      <c r="L138" s="232">
        <f>F138</f>
        <v>13800</v>
      </c>
      <c r="M138" s="232"/>
      <c r="N138" s="84"/>
      <c r="O138" s="6"/>
    </row>
    <row r="139" spans="2:15">
      <c r="B139" s="5"/>
      <c r="C139" s="31" t="s">
        <v>146</v>
      </c>
      <c r="D139" s="29"/>
      <c r="E139" s="29"/>
      <c r="F139" s="231">
        <f>SUM(38812.5,4312.5,17250)</f>
        <v>60375</v>
      </c>
      <c r="G139" s="232"/>
      <c r="H139" s="85"/>
      <c r="I139" s="233">
        <f ca="1">I137*F139/$F$137</f>
        <v>33788069.964470766</v>
      </c>
      <c r="J139" s="234"/>
      <c r="K139" s="86"/>
      <c r="L139" s="234">
        <f>F139</f>
        <v>60375</v>
      </c>
      <c r="M139" s="234"/>
      <c r="N139" s="87"/>
      <c r="O139" s="6"/>
    </row>
    <row r="140" spans="2:15">
      <c r="B140" s="5"/>
      <c r="C140" s="47" t="s">
        <v>147</v>
      </c>
      <c r="D140" s="35"/>
      <c r="E140" s="35"/>
      <c r="F140" s="228">
        <f>SUM(F141:G142)</f>
        <v>402623.31000000006</v>
      </c>
      <c r="G140" s="229"/>
      <c r="H140" s="229"/>
      <c r="I140" s="228">
        <f ca="1">I137-L137</f>
        <v>41436882.38492123</v>
      </c>
      <c r="J140" s="229"/>
      <c r="K140" s="235"/>
      <c r="L140" s="228">
        <f>SUM(L141:M142)</f>
        <v>402623.31000000006</v>
      </c>
      <c r="M140" s="229"/>
      <c r="N140" s="230"/>
      <c r="O140" s="6"/>
    </row>
    <row r="141" spans="2:15">
      <c r="B141" s="5"/>
      <c r="C141" s="31" t="s">
        <v>148</v>
      </c>
      <c r="D141" s="29"/>
      <c r="E141" s="29"/>
      <c r="F141" s="231">
        <v>240</v>
      </c>
      <c r="G141" s="232"/>
      <c r="H141" s="82"/>
      <c r="I141" s="231">
        <f ca="1">$I$140*F141/$F$140</f>
        <v>24700.139126025999</v>
      </c>
      <c r="J141" s="232"/>
      <c r="K141" s="82"/>
      <c r="L141" s="231">
        <f>F141</f>
        <v>240</v>
      </c>
      <c r="M141" s="232"/>
      <c r="N141" s="84"/>
      <c r="O141" s="6"/>
    </row>
    <row r="142" spans="2:15">
      <c r="B142" s="5"/>
      <c r="C142" s="31" t="s">
        <v>149</v>
      </c>
      <c r="D142" s="29"/>
      <c r="E142" s="29"/>
      <c r="F142" s="231">
        <v>402383.31000000006</v>
      </c>
      <c r="G142" s="232"/>
      <c r="H142" s="82"/>
      <c r="I142" s="233">
        <f ca="1">$I$140*F142/$F$140</f>
        <v>41412182.245795205</v>
      </c>
      <c r="J142" s="234"/>
      <c r="K142" s="85"/>
      <c r="L142" s="233">
        <f>F142</f>
        <v>402383.31000000006</v>
      </c>
      <c r="M142" s="234"/>
      <c r="N142" s="87"/>
      <c r="O142" s="6"/>
    </row>
    <row r="143" spans="2:15">
      <c r="B143" s="5"/>
      <c r="C143" s="47" t="s">
        <v>150</v>
      </c>
      <c r="D143" s="35"/>
      <c r="E143" s="35"/>
      <c r="F143" s="228">
        <f>SUM(F144:G146)</f>
        <v>2581867.8327470832</v>
      </c>
      <c r="G143" s="229"/>
      <c r="H143" s="235"/>
      <c r="I143" s="228">
        <f ca="1">I140-L140</f>
        <v>41034259.074921228</v>
      </c>
      <c r="J143" s="229"/>
      <c r="K143" s="235"/>
      <c r="L143" s="228">
        <f>SUM(L144:M146)</f>
        <v>2581867.8327470832</v>
      </c>
      <c r="M143" s="229"/>
      <c r="N143" s="230"/>
      <c r="O143" s="6"/>
    </row>
    <row r="144" spans="2:15">
      <c r="B144" s="5"/>
      <c r="C144" s="31" t="s">
        <v>151</v>
      </c>
      <c r="D144" s="29"/>
      <c r="E144" s="29"/>
      <c r="F144" s="231">
        <v>2109056.4078350207</v>
      </c>
      <c r="G144" s="232"/>
      <c r="H144" s="83"/>
      <c r="I144" s="231">
        <f ca="1">$I$143*F144/$F$143</f>
        <v>33519751.067444619</v>
      </c>
      <c r="J144" s="232"/>
      <c r="K144" s="83"/>
      <c r="L144" s="231">
        <f>F144</f>
        <v>2109056.4078350207</v>
      </c>
      <c r="M144" s="232"/>
      <c r="N144" s="84"/>
      <c r="O144" s="6"/>
    </row>
    <row r="145" spans="2:20">
      <c r="B145" s="5"/>
      <c r="C145" s="31" t="s">
        <v>152</v>
      </c>
      <c r="D145" s="29"/>
      <c r="E145" s="29"/>
      <c r="F145" s="231">
        <v>100625</v>
      </c>
      <c r="G145" s="232"/>
      <c r="H145" s="83"/>
      <c r="I145" s="231">
        <f t="shared" ref="I145:I146" ca="1" si="2">$I$143*F145/$F$143</f>
        <v>1599257.81910403</v>
      </c>
      <c r="J145" s="232"/>
      <c r="K145" s="83"/>
      <c r="L145" s="231">
        <f>F145</f>
        <v>100625</v>
      </c>
      <c r="M145" s="232"/>
      <c r="N145" s="84"/>
      <c r="O145" s="6"/>
    </row>
    <row r="146" spans="2:20">
      <c r="B146" s="5"/>
      <c r="C146" s="31" t="s">
        <v>153</v>
      </c>
      <c r="D146" s="29"/>
      <c r="E146" s="29"/>
      <c r="F146" s="233">
        <v>372186.42491206247</v>
      </c>
      <c r="G146" s="234"/>
      <c r="H146" s="88"/>
      <c r="I146" s="233">
        <f t="shared" ca="1" si="2"/>
        <v>5915250.1883725794</v>
      </c>
      <c r="J146" s="234"/>
      <c r="K146" s="88"/>
      <c r="L146" s="233">
        <f>F146</f>
        <v>372186.42491206247</v>
      </c>
      <c r="M146" s="234"/>
      <c r="N146" s="89"/>
      <c r="O146" s="6"/>
      <c r="T146" s="48"/>
    </row>
    <row r="147" spans="2:20">
      <c r="B147" s="5"/>
      <c r="C147" s="68" t="s">
        <v>154</v>
      </c>
      <c r="D147" s="27"/>
      <c r="E147" s="27"/>
      <c r="F147" s="228">
        <v>0</v>
      </c>
      <c r="G147" s="229"/>
      <c r="H147" s="229"/>
      <c r="I147" s="208">
        <f ca="1">I143-L143</f>
        <v>38452391.242174149</v>
      </c>
      <c r="J147" s="209"/>
      <c r="K147" s="227"/>
      <c r="L147" s="228">
        <f>F147</f>
        <v>0</v>
      </c>
      <c r="M147" s="229"/>
      <c r="N147" s="230"/>
      <c r="O147" s="6"/>
    </row>
    <row r="148" spans="2:20">
      <c r="B148" s="5"/>
      <c r="C148" s="47" t="s">
        <v>155</v>
      </c>
      <c r="D148" s="35"/>
      <c r="E148" s="35"/>
      <c r="F148" s="228">
        <v>0</v>
      </c>
      <c r="G148" s="229"/>
      <c r="H148" s="229"/>
      <c r="I148" s="208">
        <f ca="1">I147-L147</f>
        <v>38452391.242174149</v>
      </c>
      <c r="J148" s="209"/>
      <c r="K148" s="227"/>
      <c r="L148" s="228">
        <f>F148</f>
        <v>0</v>
      </c>
      <c r="M148" s="229"/>
      <c r="N148" s="230"/>
      <c r="O148" s="6"/>
    </row>
    <row r="149" spans="2:20">
      <c r="B149" s="5"/>
      <c r="C149" s="47" t="s">
        <v>156</v>
      </c>
      <c r="D149" s="35"/>
      <c r="E149" s="35"/>
      <c r="F149" s="228">
        <f ca="1">SUM(F150:G152)</f>
        <v>7085122.7901999988</v>
      </c>
      <c r="G149" s="229"/>
      <c r="H149" s="235"/>
      <c r="I149" s="228">
        <f ca="1">I148-L148</f>
        <v>38452391.242174149</v>
      </c>
      <c r="J149" s="229"/>
      <c r="K149" s="235"/>
      <c r="L149" s="228">
        <f ca="1">SUM(L150:M152)</f>
        <v>7085122.7901999988</v>
      </c>
      <c r="M149" s="229"/>
      <c r="N149" s="230"/>
      <c r="O149" s="6"/>
    </row>
    <row r="150" spans="2:20">
      <c r="B150" s="5"/>
      <c r="C150" s="31" t="s">
        <v>157</v>
      </c>
      <c r="D150" s="29"/>
      <c r="E150" s="29"/>
      <c r="F150" s="231">
        <f ca="1">G36</f>
        <v>2559119.3655424654</v>
      </c>
      <c r="G150" s="232"/>
      <c r="H150" s="83"/>
      <c r="I150" s="231">
        <f ca="1">$I$149*F150/$F$149</f>
        <v>13888857.256697679</v>
      </c>
      <c r="J150" s="232"/>
      <c r="K150" s="83"/>
      <c r="L150" s="231">
        <f t="shared" ref="L150:L158" ca="1" si="3">F150</f>
        <v>2559119.3655424654</v>
      </c>
      <c r="M150" s="232"/>
      <c r="N150" s="84"/>
      <c r="O150" s="6"/>
    </row>
    <row r="151" spans="2:20">
      <c r="B151" s="5"/>
      <c r="C151" s="31" t="s">
        <v>158</v>
      </c>
      <c r="D151" s="29"/>
      <c r="E151" s="29"/>
      <c r="F151" s="231">
        <f ca="1">I36</f>
        <v>4526003.4246575339</v>
      </c>
      <c r="G151" s="232"/>
      <c r="H151" s="83"/>
      <c r="I151" s="231">
        <f t="shared" ref="I151:I152" ca="1" si="4">$I$149*F151/$F$149</f>
        <v>24563533.985476471</v>
      </c>
      <c r="J151" s="232"/>
      <c r="K151" s="83"/>
      <c r="L151" s="231">
        <f t="shared" ca="1" si="3"/>
        <v>4526003.4246575339</v>
      </c>
      <c r="M151" s="232"/>
      <c r="N151" s="84"/>
      <c r="O151" s="6"/>
    </row>
    <row r="152" spans="2:20">
      <c r="B152" s="5"/>
      <c r="C152" s="40" t="s">
        <v>159</v>
      </c>
      <c r="D152" s="41"/>
      <c r="E152" s="41"/>
      <c r="F152" s="233">
        <v>0</v>
      </c>
      <c r="G152" s="234"/>
      <c r="H152" s="88"/>
      <c r="I152" s="233">
        <f t="shared" ca="1" si="4"/>
        <v>0</v>
      </c>
      <c r="J152" s="234"/>
      <c r="K152" s="88"/>
      <c r="L152" s="233">
        <f t="shared" si="3"/>
        <v>0</v>
      </c>
      <c r="M152" s="234"/>
      <c r="N152" s="89"/>
      <c r="O152" s="6"/>
    </row>
    <row r="153" spans="2:20">
      <c r="B153" s="5"/>
      <c r="C153" s="68" t="s">
        <v>160</v>
      </c>
      <c r="D153" s="27"/>
      <c r="E153" s="27"/>
      <c r="F153" s="228">
        <f ca="1">K36</f>
        <v>1123850</v>
      </c>
      <c r="G153" s="229"/>
      <c r="H153" s="229"/>
      <c r="I153" s="208">
        <f ca="1">I149-L149</f>
        <v>31367268.45197415</v>
      </c>
      <c r="J153" s="209"/>
      <c r="K153" s="227"/>
      <c r="L153" s="228">
        <f t="shared" ca="1" si="3"/>
        <v>1123850</v>
      </c>
      <c r="M153" s="229"/>
      <c r="N153" s="230"/>
      <c r="O153" s="6"/>
    </row>
    <row r="154" spans="2:20">
      <c r="B154" s="5"/>
      <c r="C154" s="68" t="s">
        <v>161</v>
      </c>
      <c r="D154" s="27"/>
      <c r="E154" s="27"/>
      <c r="F154" s="228">
        <f ca="1">M36</f>
        <v>465907.53424657532</v>
      </c>
      <c r="G154" s="229"/>
      <c r="H154" s="229"/>
      <c r="I154" s="208">
        <f ca="1">I153-L153</f>
        <v>30243418.45197415</v>
      </c>
      <c r="J154" s="209"/>
      <c r="K154" s="227"/>
      <c r="L154" s="228">
        <f t="shared" ca="1" si="3"/>
        <v>465907.53424657532</v>
      </c>
      <c r="M154" s="229"/>
      <c r="N154" s="230"/>
      <c r="O154" s="6"/>
    </row>
    <row r="155" spans="2:20">
      <c r="B155" s="5"/>
      <c r="C155" s="68" t="s">
        <v>162</v>
      </c>
      <c r="D155" s="27"/>
      <c r="E155" s="27"/>
      <c r="F155" s="228">
        <v>0</v>
      </c>
      <c r="G155" s="229"/>
      <c r="H155" s="229"/>
      <c r="I155" s="208">
        <f ca="1">I154-L154</f>
        <v>29777510.917727575</v>
      </c>
      <c r="J155" s="209"/>
      <c r="K155" s="227"/>
      <c r="L155" s="228">
        <f t="shared" si="3"/>
        <v>0</v>
      </c>
      <c r="M155" s="229"/>
      <c r="N155" s="230"/>
      <c r="O155" s="6"/>
    </row>
    <row r="156" spans="2:20">
      <c r="B156" s="5"/>
      <c r="C156" s="68" t="s">
        <v>163</v>
      </c>
      <c r="D156" s="27"/>
      <c r="E156" s="27"/>
      <c r="F156" s="228">
        <v>0</v>
      </c>
      <c r="G156" s="229"/>
      <c r="H156" s="229"/>
      <c r="I156" s="208">
        <f ca="1">I155-L155</f>
        <v>29777510.917727575</v>
      </c>
      <c r="J156" s="209"/>
      <c r="K156" s="227"/>
      <c r="L156" s="228">
        <f t="shared" si="3"/>
        <v>0</v>
      </c>
      <c r="M156" s="229"/>
      <c r="N156" s="230"/>
      <c r="O156" s="6"/>
    </row>
    <row r="157" spans="2:20">
      <c r="B157" s="5"/>
      <c r="C157" s="68" t="s">
        <v>164</v>
      </c>
      <c r="D157" s="27"/>
      <c r="E157" s="27"/>
      <c r="F157" s="228">
        <v>0</v>
      </c>
      <c r="G157" s="229"/>
      <c r="H157" s="229"/>
      <c r="I157" s="208">
        <f ca="1">I156-L156</f>
        <v>29777510.917727575</v>
      </c>
      <c r="J157" s="209"/>
      <c r="K157" s="227"/>
      <c r="L157" s="228">
        <f t="shared" si="3"/>
        <v>0</v>
      </c>
      <c r="M157" s="229"/>
      <c r="N157" s="230"/>
      <c r="O157" s="6"/>
    </row>
    <row r="158" spans="2:20">
      <c r="B158" s="5"/>
      <c r="C158" s="68" t="s">
        <v>165</v>
      </c>
      <c r="D158" s="27"/>
      <c r="E158" s="27"/>
      <c r="F158" s="228">
        <f>I201</f>
        <v>0</v>
      </c>
      <c r="G158" s="229"/>
      <c r="H158" s="229"/>
      <c r="I158" s="208">
        <f ca="1">I154-L154</f>
        <v>29777510.917727575</v>
      </c>
      <c r="J158" s="209"/>
      <c r="K158" s="227"/>
      <c r="L158" s="228">
        <f t="shared" si="3"/>
        <v>0</v>
      </c>
      <c r="M158" s="229"/>
      <c r="N158" s="230"/>
      <c r="O158" s="6"/>
    </row>
    <row r="159" spans="2:20">
      <c r="B159" s="5"/>
      <c r="C159" s="47" t="s">
        <v>166</v>
      </c>
      <c r="D159" s="35"/>
      <c r="E159" s="35"/>
      <c r="F159" s="228">
        <f ca="1">SUM(F160,F164:G165)</f>
        <v>6610036.8200000059</v>
      </c>
      <c r="G159" s="229"/>
      <c r="H159" s="229"/>
      <c r="I159" s="228">
        <f ca="1">I158-L158</f>
        <v>29777510.917727575</v>
      </c>
      <c r="J159" s="229"/>
      <c r="K159" s="235"/>
      <c r="L159" s="228">
        <f ca="1">SUM(L160,L164:M165)</f>
        <v>6610036.8200000059</v>
      </c>
      <c r="M159" s="229"/>
      <c r="N159" s="230"/>
      <c r="O159" s="6"/>
    </row>
    <row r="160" spans="2:20">
      <c r="B160" s="5"/>
      <c r="C160" s="31" t="s">
        <v>167</v>
      </c>
      <c r="D160" s="29"/>
      <c r="E160" s="29"/>
      <c r="F160" s="231">
        <f ca="1">SUM(F161:G163)</f>
        <v>6610036.8200000059</v>
      </c>
      <c r="G160" s="232"/>
      <c r="H160" s="90"/>
      <c r="I160" s="231">
        <f ca="1">F160/$F$159*I159</f>
        <v>29777510.917727575</v>
      </c>
      <c r="J160" s="232"/>
      <c r="K160" s="90"/>
      <c r="L160" s="231">
        <f t="shared" ref="L160:L167" ca="1" si="5">F160</f>
        <v>6610036.8200000059</v>
      </c>
      <c r="M160" s="232"/>
      <c r="N160" s="91"/>
      <c r="O160" s="6"/>
    </row>
    <row r="161" spans="2:15">
      <c r="B161" s="5"/>
      <c r="C161" s="44" t="s">
        <v>20</v>
      </c>
      <c r="D161" s="29"/>
      <c r="E161" s="29"/>
      <c r="F161" s="231">
        <f ca="1">J99</f>
        <v>6610036.8200000059</v>
      </c>
      <c r="G161" s="232"/>
      <c r="H161" s="90"/>
      <c r="I161" s="231">
        <f ca="1">F161/$F$159*I159</f>
        <v>29777510.917727575</v>
      </c>
      <c r="J161" s="232"/>
      <c r="K161" s="90"/>
      <c r="L161" s="231">
        <f t="shared" ca="1" si="5"/>
        <v>6610036.8200000059</v>
      </c>
      <c r="M161" s="232"/>
      <c r="N161" s="91"/>
      <c r="O161" s="6"/>
    </row>
    <row r="162" spans="2:15">
      <c r="B162" s="5"/>
      <c r="C162" s="44" t="s">
        <v>21</v>
      </c>
      <c r="D162" s="29"/>
      <c r="E162" s="29"/>
      <c r="F162" s="231">
        <v>0</v>
      </c>
      <c r="G162" s="232"/>
      <c r="H162" s="90"/>
      <c r="I162" s="231">
        <f ca="1">F162/$F$159*I159</f>
        <v>0</v>
      </c>
      <c r="J162" s="232"/>
      <c r="K162" s="90"/>
      <c r="L162" s="231">
        <f t="shared" si="5"/>
        <v>0</v>
      </c>
      <c r="M162" s="232"/>
      <c r="N162" s="91"/>
      <c r="O162" s="6"/>
    </row>
    <row r="163" spans="2:15">
      <c r="B163" s="5"/>
      <c r="C163" s="44" t="s">
        <v>168</v>
      </c>
      <c r="D163" s="29"/>
      <c r="E163" s="29"/>
      <c r="F163" s="231">
        <v>0</v>
      </c>
      <c r="G163" s="232"/>
      <c r="H163" s="90"/>
      <c r="I163" s="231">
        <f ca="1">F163/$F$159*I159</f>
        <v>0</v>
      </c>
      <c r="J163" s="232"/>
      <c r="K163" s="90"/>
      <c r="L163" s="231">
        <f t="shared" si="5"/>
        <v>0</v>
      </c>
      <c r="M163" s="232"/>
      <c r="N163" s="91"/>
      <c r="O163" s="6"/>
    </row>
    <row r="164" spans="2:15">
      <c r="B164" s="5"/>
      <c r="C164" s="31" t="s">
        <v>169</v>
      </c>
      <c r="D164" s="29"/>
      <c r="E164" s="29"/>
      <c r="F164" s="231">
        <v>0</v>
      </c>
      <c r="G164" s="232"/>
      <c r="H164" s="90"/>
      <c r="I164" s="231">
        <f ca="1">F164/$F$159*I159</f>
        <v>0</v>
      </c>
      <c r="J164" s="232"/>
      <c r="K164" s="90"/>
      <c r="L164" s="231">
        <f t="shared" si="5"/>
        <v>0</v>
      </c>
      <c r="M164" s="232"/>
      <c r="N164" s="91"/>
      <c r="O164" s="6"/>
    </row>
    <row r="165" spans="2:15">
      <c r="B165" s="5"/>
      <c r="C165" s="40" t="s">
        <v>170</v>
      </c>
      <c r="D165" s="41"/>
      <c r="E165" s="41"/>
      <c r="F165" s="231">
        <v>0</v>
      </c>
      <c r="G165" s="232"/>
      <c r="H165" s="88"/>
      <c r="I165" s="233">
        <f ca="1">F165/$F$159*I159</f>
        <v>0</v>
      </c>
      <c r="J165" s="234"/>
      <c r="K165" s="88"/>
      <c r="L165" s="231">
        <f t="shared" si="5"/>
        <v>0</v>
      </c>
      <c r="M165" s="232"/>
      <c r="N165" s="89"/>
      <c r="O165" s="6"/>
    </row>
    <row r="166" spans="2:15">
      <c r="B166" s="5"/>
      <c r="C166" s="68" t="s">
        <v>171</v>
      </c>
      <c r="D166" s="27"/>
      <c r="E166" s="27"/>
      <c r="F166" s="228">
        <f>I192</f>
        <v>15585500</v>
      </c>
      <c r="G166" s="229"/>
      <c r="H166" s="229"/>
      <c r="I166" s="208">
        <f ca="1">I159-L159</f>
        <v>23167474.097727567</v>
      </c>
      <c r="J166" s="209"/>
      <c r="K166" s="227"/>
      <c r="L166" s="228">
        <f t="shared" si="5"/>
        <v>15585500</v>
      </c>
      <c r="M166" s="229"/>
      <c r="N166" s="230"/>
      <c r="O166" s="6"/>
    </row>
    <row r="167" spans="2:15">
      <c r="B167" s="5"/>
      <c r="C167" s="68" t="s">
        <v>172</v>
      </c>
      <c r="D167" s="27"/>
      <c r="E167" s="27"/>
      <c r="F167" s="228">
        <v>0</v>
      </c>
      <c r="G167" s="229"/>
      <c r="H167" s="229"/>
      <c r="I167" s="208">
        <f ca="1">I166-L166</f>
        <v>7581974.097727567</v>
      </c>
      <c r="J167" s="209"/>
      <c r="K167" s="227"/>
      <c r="L167" s="228">
        <f t="shared" si="5"/>
        <v>0</v>
      </c>
      <c r="M167" s="229"/>
      <c r="N167" s="230"/>
      <c r="O167" s="6"/>
    </row>
    <row r="168" spans="2:15">
      <c r="B168" s="5"/>
      <c r="C168" s="47" t="s">
        <v>173</v>
      </c>
      <c r="D168" s="35"/>
      <c r="E168" s="35"/>
      <c r="F168" s="228">
        <f>SUM(F169:G170)</f>
        <v>0</v>
      </c>
      <c r="G168" s="229"/>
      <c r="H168" s="229"/>
      <c r="I168" s="228">
        <f ca="1">I167-L167</f>
        <v>7581974.097727567</v>
      </c>
      <c r="J168" s="229"/>
      <c r="K168" s="235"/>
      <c r="L168" s="228">
        <f>SUM(L169:M170)</f>
        <v>0</v>
      </c>
      <c r="M168" s="229"/>
      <c r="N168" s="230"/>
      <c r="O168" s="6"/>
    </row>
    <row r="169" spans="2:15">
      <c r="B169" s="5"/>
      <c r="C169" s="31" t="s">
        <v>169</v>
      </c>
      <c r="D169" s="29"/>
      <c r="E169" s="29"/>
      <c r="F169" s="231">
        <v>0</v>
      </c>
      <c r="G169" s="232"/>
      <c r="H169" s="82"/>
      <c r="I169" s="236">
        <f ca="1">IFERROR(F169/$F$168*$I$168,0)</f>
        <v>0</v>
      </c>
      <c r="J169" s="237"/>
      <c r="K169" s="82"/>
      <c r="L169" s="231">
        <f>F169</f>
        <v>0</v>
      </c>
      <c r="M169" s="232"/>
      <c r="N169" s="84"/>
      <c r="O169" s="6"/>
    </row>
    <row r="170" spans="2:15">
      <c r="B170" s="5"/>
      <c r="C170" s="40" t="s">
        <v>170</v>
      </c>
      <c r="D170" s="41"/>
      <c r="E170" s="41"/>
      <c r="F170" s="231">
        <v>0</v>
      </c>
      <c r="G170" s="232"/>
      <c r="H170" s="82"/>
      <c r="I170" s="233">
        <f ca="1">IFERROR(F170/$F$168*$I$168,0)</f>
        <v>0</v>
      </c>
      <c r="J170" s="234"/>
      <c r="K170" s="82"/>
      <c r="L170" s="231">
        <f>F170</f>
        <v>0</v>
      </c>
      <c r="M170" s="232"/>
      <c r="N170" s="84"/>
      <c r="O170" s="6"/>
    </row>
    <row r="171" spans="2:15">
      <c r="B171" s="5"/>
      <c r="C171" s="68" t="s">
        <v>174</v>
      </c>
      <c r="D171" s="41"/>
      <c r="E171" s="41"/>
      <c r="F171" s="228">
        <v>0</v>
      </c>
      <c r="G171" s="229"/>
      <c r="H171" s="229"/>
      <c r="I171" s="208">
        <f ca="1">I168-L168</f>
        <v>7581974.097727567</v>
      </c>
      <c r="J171" s="209"/>
      <c r="K171" s="227"/>
      <c r="L171" s="228">
        <f>F171</f>
        <v>0</v>
      </c>
      <c r="M171" s="229"/>
      <c r="N171" s="230"/>
      <c r="O171" s="6"/>
    </row>
    <row r="172" spans="2:15">
      <c r="B172" s="5"/>
      <c r="C172" s="68" t="s">
        <v>175</v>
      </c>
      <c r="D172" s="27"/>
      <c r="E172" s="27"/>
      <c r="F172" s="228">
        <v>0</v>
      </c>
      <c r="G172" s="229"/>
      <c r="H172" s="229"/>
      <c r="I172" s="208">
        <f ca="1">I171-L171</f>
        <v>7581974.097727567</v>
      </c>
      <c r="J172" s="209"/>
      <c r="K172" s="227"/>
      <c r="L172" s="228">
        <f>F172</f>
        <v>0</v>
      </c>
      <c r="M172" s="229"/>
      <c r="N172" s="230"/>
      <c r="O172" s="6"/>
    </row>
    <row r="173" spans="2:15">
      <c r="B173" s="5"/>
      <c r="C173" s="47" t="s">
        <v>176</v>
      </c>
      <c r="D173" s="35"/>
      <c r="E173" s="35"/>
      <c r="F173" s="228">
        <f>SUM(F174:H174)</f>
        <v>0</v>
      </c>
      <c r="G173" s="229"/>
      <c r="H173" s="229"/>
      <c r="I173" s="228">
        <f ca="1">I172-L172</f>
        <v>7581974.097727567</v>
      </c>
      <c r="J173" s="229"/>
      <c r="K173" s="235"/>
      <c r="L173" s="228">
        <f>SUM(L174)</f>
        <v>0</v>
      </c>
      <c r="M173" s="229"/>
      <c r="N173" s="230"/>
      <c r="O173" s="6"/>
    </row>
    <row r="174" spans="2:15">
      <c r="B174" s="5"/>
      <c r="C174" s="40" t="s">
        <v>170</v>
      </c>
      <c r="D174" s="41"/>
      <c r="E174" s="41"/>
      <c r="F174" s="231">
        <v>0</v>
      </c>
      <c r="G174" s="232"/>
      <c r="H174" s="82"/>
      <c r="I174" s="233">
        <f ca="1">I173</f>
        <v>7581974.097727567</v>
      </c>
      <c r="J174" s="234"/>
      <c r="K174" s="82"/>
      <c r="L174" s="231">
        <f>F174</f>
        <v>0</v>
      </c>
      <c r="M174" s="232"/>
      <c r="N174" s="84"/>
      <c r="O174" s="6"/>
    </row>
    <row r="175" spans="2:15">
      <c r="B175" s="5"/>
      <c r="C175" s="68" t="s">
        <v>177</v>
      </c>
      <c r="D175" s="27"/>
      <c r="E175" s="27"/>
      <c r="F175" s="228">
        <v>0</v>
      </c>
      <c r="G175" s="229"/>
      <c r="H175" s="229"/>
      <c r="I175" s="208">
        <f ca="1">I173-L173</f>
        <v>7581974.097727567</v>
      </c>
      <c r="J175" s="209"/>
      <c r="K175" s="227"/>
      <c r="L175" s="228">
        <f>F175</f>
        <v>0</v>
      </c>
      <c r="M175" s="229"/>
      <c r="N175" s="230"/>
      <c r="O175" s="6"/>
    </row>
    <row r="176" spans="2:15">
      <c r="B176" s="5"/>
      <c r="C176" s="68" t="s">
        <v>178</v>
      </c>
      <c r="D176" s="27"/>
      <c r="E176" s="27"/>
      <c r="F176" s="228">
        <v>0</v>
      </c>
      <c r="G176" s="229"/>
      <c r="H176" s="229"/>
      <c r="I176" s="208">
        <f ca="1">I175-L175</f>
        <v>7581974.097727567</v>
      </c>
      <c r="J176" s="209"/>
      <c r="K176" s="227"/>
      <c r="L176" s="228">
        <f>F176</f>
        <v>0</v>
      </c>
      <c r="M176" s="229"/>
      <c r="N176" s="230"/>
      <c r="O176" s="6"/>
    </row>
    <row r="177" spans="2:15">
      <c r="B177" s="5"/>
      <c r="C177" s="68" t="s">
        <v>179</v>
      </c>
      <c r="D177" s="27"/>
      <c r="E177" s="27"/>
      <c r="F177" s="228">
        <v>239376.98915890418</v>
      </c>
      <c r="G177" s="229"/>
      <c r="H177" s="229"/>
      <c r="I177" s="208">
        <f ca="1">I176-L176</f>
        <v>7581974.097727567</v>
      </c>
      <c r="J177" s="209"/>
      <c r="K177" s="227"/>
      <c r="L177" s="228">
        <f>F177</f>
        <v>239376.98915890418</v>
      </c>
      <c r="M177" s="229"/>
      <c r="N177" s="230"/>
      <c r="O177" s="6"/>
    </row>
    <row r="178" spans="2:15">
      <c r="B178" s="5"/>
      <c r="C178" s="47" t="s">
        <v>180</v>
      </c>
      <c r="D178" s="35"/>
      <c r="E178" s="35"/>
      <c r="F178" s="228">
        <f ca="1">SUM(F179:G181)</f>
        <v>3485165.9173768088</v>
      </c>
      <c r="G178" s="229"/>
      <c r="H178" s="229"/>
      <c r="I178" s="228">
        <f ca="1">I177-L177</f>
        <v>7342597.1085686628</v>
      </c>
      <c r="J178" s="229"/>
      <c r="K178" s="235"/>
      <c r="L178" s="228">
        <f ca="1">SUM(L179:M181)</f>
        <v>3485165.9173768088</v>
      </c>
      <c r="M178" s="229"/>
      <c r="N178" s="230"/>
      <c r="O178" s="6"/>
    </row>
    <row r="179" spans="2:15">
      <c r="B179" s="5"/>
      <c r="C179" s="31" t="s">
        <v>181</v>
      </c>
      <c r="D179" s="29"/>
      <c r="E179" s="29"/>
      <c r="F179" s="231">
        <f ca="1">I212</f>
        <v>2207155.1991987266</v>
      </c>
      <c r="G179" s="232"/>
      <c r="H179" s="82"/>
      <c r="I179" s="231">
        <f ca="1">F179/$F$178*I178</f>
        <v>4650065.9561128933</v>
      </c>
      <c r="J179" s="232"/>
      <c r="K179" s="82"/>
      <c r="L179" s="231">
        <f ca="1">F179</f>
        <v>2207155.1991987266</v>
      </c>
      <c r="M179" s="232"/>
      <c r="N179" s="84"/>
      <c r="O179" s="6"/>
    </row>
    <row r="180" spans="2:15">
      <c r="B180" s="5"/>
      <c r="C180" s="31" t="s">
        <v>182</v>
      </c>
      <c r="D180" s="29"/>
      <c r="E180" s="29"/>
      <c r="F180" s="231">
        <v>1278010.7181780823</v>
      </c>
      <c r="G180" s="232"/>
      <c r="H180" s="82"/>
      <c r="I180" s="231">
        <f ca="1">F180/$F$178*I179</f>
        <v>1705179.6881510599</v>
      </c>
      <c r="J180" s="232"/>
      <c r="K180" s="82"/>
      <c r="L180" s="231">
        <f>F180</f>
        <v>1278010.7181780823</v>
      </c>
      <c r="M180" s="232"/>
      <c r="N180" s="84"/>
      <c r="O180" s="6"/>
    </row>
    <row r="181" spans="2:15">
      <c r="B181" s="5"/>
      <c r="C181" s="40" t="s">
        <v>183</v>
      </c>
      <c r="D181" s="41"/>
      <c r="E181" s="41"/>
      <c r="F181" s="231">
        <v>0</v>
      </c>
      <c r="G181" s="232"/>
      <c r="H181" s="82"/>
      <c r="I181" s="233">
        <f ca="1">F181/$F$178*I178</f>
        <v>0</v>
      </c>
      <c r="J181" s="234"/>
      <c r="K181" s="82"/>
      <c r="L181" s="231">
        <f>F181</f>
        <v>0</v>
      </c>
      <c r="M181" s="232"/>
      <c r="N181" s="84"/>
      <c r="O181" s="6"/>
    </row>
    <row r="182" spans="2:15">
      <c r="B182" s="5"/>
      <c r="C182" s="68" t="s">
        <v>184</v>
      </c>
      <c r="D182" s="27"/>
      <c r="E182" s="27"/>
      <c r="F182" s="208">
        <f>'[1]Div Calc'!$C$4</f>
        <v>3600000</v>
      </c>
      <c r="G182" s="209"/>
      <c r="H182" s="227"/>
      <c r="I182" s="208">
        <f ca="1">I178-L178</f>
        <v>3857431.191191854</v>
      </c>
      <c r="J182" s="209"/>
      <c r="K182" s="227"/>
      <c r="L182" s="228">
        <f>F182</f>
        <v>3600000</v>
      </c>
      <c r="M182" s="229"/>
      <c r="N182" s="230"/>
      <c r="O182" s="6"/>
    </row>
    <row r="183" spans="2:15">
      <c r="B183" s="5"/>
      <c r="C183" s="68" t="s">
        <v>185</v>
      </c>
      <c r="D183" s="27"/>
      <c r="E183" s="27"/>
      <c r="F183" s="208">
        <v>257431</v>
      </c>
      <c r="G183" s="209"/>
      <c r="H183" s="227"/>
      <c r="I183" s="208">
        <f ca="1">I182-L182</f>
        <v>257431.19119185396</v>
      </c>
      <c r="J183" s="209"/>
      <c r="K183" s="227"/>
      <c r="L183" s="228">
        <f>F183</f>
        <v>257431</v>
      </c>
      <c r="M183" s="229"/>
      <c r="N183" s="230"/>
      <c r="O183" s="6"/>
    </row>
    <row r="184" spans="2:15" ht="15" thickBot="1">
      <c r="B184" s="5"/>
      <c r="C184" s="92" t="s">
        <v>186</v>
      </c>
      <c r="D184" s="93"/>
      <c r="E184" s="94"/>
      <c r="F184" s="220">
        <f ca="1">SUM(F136,F137,F140,F143,F147,F148,F149,F153:H159,F166:H168,F171:H173,F175:H178)</f>
        <v>40203791.623729378</v>
      </c>
      <c r="G184" s="221"/>
      <c r="H184" s="222"/>
      <c r="I184" s="220">
        <f ca="1">I136</f>
        <v>44061222.81492123</v>
      </c>
      <c r="J184" s="221"/>
      <c r="K184" s="222"/>
      <c r="L184" s="220">
        <f ca="1">I184</f>
        <v>44061222.81492123</v>
      </c>
      <c r="M184" s="221"/>
      <c r="N184" s="223"/>
      <c r="O184" s="6"/>
    </row>
    <row r="185" spans="2:15" ht="15" thickBot="1">
      <c r="B185" s="5"/>
      <c r="C185" s="59"/>
      <c r="D185" s="7"/>
      <c r="E185" s="7"/>
      <c r="F185" s="7"/>
      <c r="G185" s="7"/>
      <c r="H185" s="7"/>
      <c r="I185" s="7"/>
      <c r="J185" s="7"/>
      <c r="K185" s="7"/>
      <c r="L185" s="7"/>
      <c r="M185" s="7"/>
      <c r="N185" s="7"/>
      <c r="O185" s="6"/>
    </row>
    <row r="186" spans="2:15">
      <c r="B186" s="5"/>
      <c r="C186" s="224" t="s">
        <v>187</v>
      </c>
      <c r="D186" s="225"/>
      <c r="E186" s="225"/>
      <c r="F186" s="225"/>
      <c r="G186" s="225"/>
      <c r="H186" s="225"/>
      <c r="I186" s="225"/>
      <c r="J186" s="225"/>
      <c r="K186" s="225"/>
      <c r="L186" s="225"/>
      <c r="M186" s="225"/>
      <c r="N186" s="226"/>
      <c r="O186" s="6"/>
    </row>
    <row r="187" spans="2:15">
      <c r="B187" s="5"/>
      <c r="C187" s="68" t="s">
        <v>188</v>
      </c>
      <c r="D187" s="95"/>
      <c r="E187" s="95"/>
      <c r="F187" s="95"/>
      <c r="G187" s="95"/>
      <c r="H187" s="96"/>
      <c r="I187" s="208">
        <f>SUM(202000000,309000000)*3.05%</f>
        <v>15585500</v>
      </c>
      <c r="J187" s="209"/>
      <c r="K187" s="209"/>
      <c r="L187" s="209"/>
      <c r="M187" s="209"/>
      <c r="N187" s="210"/>
      <c r="O187" s="6"/>
    </row>
    <row r="188" spans="2:15">
      <c r="B188" s="5"/>
      <c r="C188" s="68" t="s">
        <v>189</v>
      </c>
      <c r="D188" s="19"/>
      <c r="E188" s="19"/>
      <c r="F188" s="19"/>
      <c r="G188" s="19"/>
      <c r="H188" s="21"/>
      <c r="I188" s="208">
        <f>I187</f>
        <v>15585500</v>
      </c>
      <c r="J188" s="209"/>
      <c r="K188" s="209"/>
      <c r="L188" s="209"/>
      <c r="M188" s="209"/>
      <c r="N188" s="210"/>
      <c r="O188" s="6"/>
    </row>
    <row r="189" spans="2:15">
      <c r="B189" s="5"/>
      <c r="C189" s="20" t="s">
        <v>190</v>
      </c>
      <c r="D189" s="19"/>
      <c r="E189" s="19"/>
      <c r="F189" s="19"/>
      <c r="G189" s="19"/>
      <c r="H189" s="21"/>
      <c r="I189" s="208">
        <v>0</v>
      </c>
      <c r="J189" s="209"/>
      <c r="K189" s="209"/>
      <c r="L189" s="209"/>
      <c r="M189" s="209"/>
      <c r="N189" s="210"/>
      <c r="O189" s="6"/>
    </row>
    <row r="190" spans="2:15">
      <c r="B190" s="5"/>
      <c r="C190" s="20" t="s">
        <v>191</v>
      </c>
      <c r="D190" s="19"/>
      <c r="E190" s="19"/>
      <c r="F190" s="19"/>
      <c r="G190" s="19"/>
      <c r="H190" s="21"/>
      <c r="I190" s="208">
        <v>0</v>
      </c>
      <c r="J190" s="209"/>
      <c r="K190" s="209"/>
      <c r="L190" s="209"/>
      <c r="M190" s="209"/>
      <c r="N190" s="210"/>
      <c r="O190" s="6"/>
    </row>
    <row r="191" spans="2:15">
      <c r="B191" s="5"/>
      <c r="C191" s="20" t="s">
        <v>192</v>
      </c>
      <c r="D191" s="19"/>
      <c r="E191" s="19"/>
      <c r="F191" s="19"/>
      <c r="G191" s="19"/>
      <c r="H191" s="21"/>
      <c r="I191" s="208">
        <f>I189</f>
        <v>0</v>
      </c>
      <c r="J191" s="209"/>
      <c r="K191" s="209"/>
      <c r="L191" s="209"/>
      <c r="M191" s="209"/>
      <c r="N191" s="210"/>
      <c r="O191" s="6"/>
    </row>
    <row r="192" spans="2:15" ht="15" thickBot="1">
      <c r="B192" s="5"/>
      <c r="C192" s="25" t="s">
        <v>193</v>
      </c>
      <c r="D192" s="26"/>
      <c r="E192" s="26"/>
      <c r="F192" s="26"/>
      <c r="G192" s="26"/>
      <c r="H192" s="70"/>
      <c r="I192" s="217">
        <f>I187-I190+I191</f>
        <v>15585500</v>
      </c>
      <c r="J192" s="218"/>
      <c r="K192" s="218"/>
      <c r="L192" s="218"/>
      <c r="M192" s="218"/>
      <c r="N192" s="219"/>
      <c r="O192" s="6"/>
    </row>
    <row r="193" spans="2:15" ht="15" thickBot="1">
      <c r="B193" s="5"/>
      <c r="C193" s="7"/>
      <c r="D193" s="7"/>
      <c r="E193" s="7"/>
      <c r="F193" s="7"/>
      <c r="G193" s="7"/>
      <c r="H193" s="7"/>
      <c r="I193" s="7"/>
      <c r="J193" s="7"/>
      <c r="K193" s="7"/>
      <c r="L193" s="7"/>
      <c r="M193" s="7"/>
      <c r="N193" s="7"/>
      <c r="O193" s="6"/>
    </row>
    <row r="194" spans="2:15">
      <c r="B194" s="5"/>
      <c r="C194" s="193" t="s">
        <v>194</v>
      </c>
      <c r="D194" s="194"/>
      <c r="E194" s="194"/>
      <c r="F194" s="194"/>
      <c r="G194" s="194"/>
      <c r="H194" s="194"/>
      <c r="I194" s="194"/>
      <c r="J194" s="194"/>
      <c r="K194" s="194"/>
      <c r="L194" s="194"/>
      <c r="M194" s="194"/>
      <c r="N194" s="195"/>
      <c r="O194" s="6"/>
    </row>
    <row r="195" spans="2:15">
      <c r="B195" s="5"/>
      <c r="C195" s="68" t="s">
        <v>195</v>
      </c>
      <c r="D195" s="95"/>
      <c r="E195" s="95"/>
      <c r="F195" s="95"/>
      <c r="G195" s="95"/>
      <c r="H195" s="96"/>
      <c r="I195" s="211">
        <v>0</v>
      </c>
      <c r="J195" s="212"/>
      <c r="K195" s="212"/>
      <c r="L195" s="212"/>
      <c r="M195" s="212"/>
      <c r="N195" s="213"/>
      <c r="O195" s="6"/>
    </row>
    <row r="196" spans="2:15">
      <c r="B196" s="5"/>
      <c r="C196" s="68" t="s">
        <v>196</v>
      </c>
      <c r="D196" s="95"/>
      <c r="E196" s="95"/>
      <c r="F196" s="95"/>
      <c r="G196" s="95"/>
      <c r="H196" s="96"/>
      <c r="I196" s="205">
        <v>0</v>
      </c>
      <c r="J196" s="206"/>
      <c r="K196" s="206"/>
      <c r="L196" s="206"/>
      <c r="M196" s="206"/>
      <c r="N196" s="207"/>
      <c r="O196" s="6"/>
    </row>
    <row r="197" spans="2:15">
      <c r="B197" s="5"/>
      <c r="C197" s="68" t="s">
        <v>197</v>
      </c>
      <c r="D197" s="95"/>
      <c r="E197" s="95"/>
      <c r="F197" s="95"/>
      <c r="G197" s="95"/>
      <c r="H197" s="96"/>
      <c r="I197" s="208">
        <v>0</v>
      </c>
      <c r="J197" s="209"/>
      <c r="K197" s="209"/>
      <c r="L197" s="209"/>
      <c r="M197" s="209"/>
      <c r="N197" s="210"/>
      <c r="O197" s="6"/>
    </row>
    <row r="198" spans="2:15">
      <c r="B198" s="5"/>
      <c r="C198" s="68" t="s">
        <v>198</v>
      </c>
      <c r="D198" s="95"/>
      <c r="E198" s="95"/>
      <c r="F198" s="95"/>
      <c r="G198" s="95"/>
      <c r="H198" s="96"/>
      <c r="I198" s="208">
        <f>I195+I196-I197</f>
        <v>0</v>
      </c>
      <c r="J198" s="209"/>
      <c r="K198" s="209"/>
      <c r="L198" s="209"/>
      <c r="M198" s="209"/>
      <c r="N198" s="210"/>
      <c r="O198" s="6"/>
    </row>
    <row r="199" spans="2:15">
      <c r="B199" s="5"/>
      <c r="C199" s="68" t="s">
        <v>199</v>
      </c>
      <c r="D199" s="95"/>
      <c r="E199" s="95"/>
      <c r="F199" s="95"/>
      <c r="G199" s="95"/>
      <c r="H199" s="96"/>
      <c r="I199" s="208">
        <v>0</v>
      </c>
      <c r="J199" s="209"/>
      <c r="K199" s="209"/>
      <c r="L199" s="209"/>
      <c r="M199" s="209"/>
      <c r="N199" s="210"/>
      <c r="O199" s="6"/>
    </row>
    <row r="200" spans="2:15">
      <c r="B200" s="5"/>
      <c r="C200" s="68" t="s">
        <v>200</v>
      </c>
      <c r="D200" s="95"/>
      <c r="E200" s="95"/>
      <c r="F200" s="95"/>
      <c r="G200" s="95"/>
      <c r="H200" s="96"/>
      <c r="I200" s="211">
        <v>0</v>
      </c>
      <c r="J200" s="212"/>
      <c r="K200" s="212"/>
      <c r="L200" s="212"/>
      <c r="M200" s="212"/>
      <c r="N200" s="213"/>
      <c r="O200" s="6"/>
    </row>
    <row r="201" spans="2:15" ht="15" thickBot="1">
      <c r="B201" s="5"/>
      <c r="C201" s="97" t="s">
        <v>201</v>
      </c>
      <c r="D201" s="98"/>
      <c r="E201" s="98"/>
      <c r="F201" s="98"/>
      <c r="G201" s="98"/>
      <c r="H201" s="99"/>
      <c r="I201" s="214">
        <f>I198-I199+I200</f>
        <v>0</v>
      </c>
      <c r="J201" s="215"/>
      <c r="K201" s="215"/>
      <c r="L201" s="215"/>
      <c r="M201" s="215"/>
      <c r="N201" s="216"/>
      <c r="O201" s="6"/>
    </row>
    <row r="202" spans="2:15" ht="15" thickBot="1">
      <c r="B202" s="5"/>
      <c r="C202" s="100"/>
      <c r="D202" s="101"/>
      <c r="E202" s="101"/>
      <c r="F202" s="101"/>
      <c r="G202" s="101"/>
      <c r="H202" s="101"/>
      <c r="I202" s="102"/>
      <c r="J202" s="102"/>
      <c r="K202" s="102"/>
      <c r="L202" s="102"/>
      <c r="M202" s="102"/>
      <c r="N202" s="102"/>
      <c r="O202" s="6"/>
    </row>
    <row r="203" spans="2:15">
      <c r="B203" s="5"/>
      <c r="C203" s="193" t="s">
        <v>202</v>
      </c>
      <c r="D203" s="194"/>
      <c r="E203" s="194"/>
      <c r="F203" s="194"/>
      <c r="G203" s="194"/>
      <c r="H203" s="194"/>
      <c r="I203" s="194"/>
      <c r="J203" s="194"/>
      <c r="K203" s="194"/>
      <c r="L203" s="194"/>
      <c r="M203" s="194"/>
      <c r="N203" s="195"/>
      <c r="O203" s="6"/>
    </row>
    <row r="204" spans="2:15">
      <c r="B204" s="5"/>
      <c r="C204" s="24" t="s">
        <v>203</v>
      </c>
      <c r="D204" s="19"/>
      <c r="E204" s="95"/>
      <c r="F204" s="95"/>
      <c r="G204" s="95"/>
      <c r="H204" s="96"/>
      <c r="I204" s="196">
        <f>10%</f>
        <v>0.1</v>
      </c>
      <c r="J204" s="197"/>
      <c r="K204" s="197"/>
      <c r="L204" s="197"/>
      <c r="M204" s="197"/>
      <c r="N204" s="198"/>
      <c r="O204" s="6"/>
    </row>
    <row r="205" spans="2:15">
      <c r="B205" s="5"/>
      <c r="C205" s="20"/>
      <c r="D205" s="27"/>
      <c r="E205" s="199" t="s">
        <v>204</v>
      </c>
      <c r="F205" s="200"/>
      <c r="G205" s="201" t="s">
        <v>205</v>
      </c>
      <c r="H205" s="202"/>
      <c r="I205" s="201" t="s">
        <v>206</v>
      </c>
      <c r="J205" s="170"/>
      <c r="K205" s="202"/>
      <c r="L205" s="202" t="s">
        <v>207</v>
      </c>
      <c r="M205" s="203"/>
      <c r="N205" s="204"/>
      <c r="O205" s="6"/>
    </row>
    <row r="206" spans="2:15">
      <c r="B206" s="5"/>
      <c r="C206" s="11" t="s">
        <v>208</v>
      </c>
      <c r="D206" s="29"/>
      <c r="E206" s="178">
        <v>44333</v>
      </c>
      <c r="F206" s="179"/>
      <c r="G206" s="180">
        <f ca="1">G29</f>
        <v>3.6749999999999998E-2</v>
      </c>
      <c r="H206" s="181"/>
      <c r="I206" s="157">
        <v>64737661.788178086</v>
      </c>
      <c r="J206" s="158"/>
      <c r="K206" s="182"/>
      <c r="L206" s="157">
        <f>I206</f>
        <v>64737661.788178086</v>
      </c>
      <c r="M206" s="158"/>
      <c r="N206" s="159"/>
      <c r="O206" s="6"/>
    </row>
    <row r="207" spans="2:15">
      <c r="B207" s="5"/>
      <c r="C207" s="34" t="s">
        <v>209</v>
      </c>
      <c r="D207" s="103"/>
      <c r="E207" s="183"/>
      <c r="F207" s="184"/>
      <c r="G207" s="185"/>
      <c r="H207" s="186"/>
      <c r="I207" s="187">
        <f>SUM(I208:K210)</f>
        <v>0</v>
      </c>
      <c r="J207" s="188"/>
      <c r="K207" s="189"/>
      <c r="L207" s="190">
        <f>I207</f>
        <v>0</v>
      </c>
      <c r="M207" s="191"/>
      <c r="N207" s="192"/>
      <c r="O207" s="6"/>
    </row>
    <row r="208" spans="2:15">
      <c r="B208" s="5"/>
      <c r="C208" s="31" t="s">
        <v>210</v>
      </c>
      <c r="D208" s="29"/>
      <c r="E208" s="171"/>
      <c r="F208" s="172"/>
      <c r="G208" s="173"/>
      <c r="H208" s="174"/>
      <c r="I208" s="175"/>
      <c r="J208" s="176"/>
      <c r="K208" s="177"/>
      <c r="L208" s="167">
        <f>I208</f>
        <v>0</v>
      </c>
      <c r="M208" s="168"/>
      <c r="N208" s="169"/>
      <c r="O208" s="6"/>
    </row>
    <row r="209" spans="2:17">
      <c r="B209" s="5"/>
      <c r="C209" s="31" t="s">
        <v>211</v>
      </c>
      <c r="D209" s="29"/>
      <c r="E209" s="171"/>
      <c r="F209" s="172"/>
      <c r="G209" s="173"/>
      <c r="H209" s="174"/>
      <c r="I209" s="175"/>
      <c r="J209" s="176"/>
      <c r="K209" s="177"/>
      <c r="L209" s="167"/>
      <c r="M209" s="168"/>
      <c r="N209" s="169"/>
      <c r="O209" s="6"/>
    </row>
    <row r="210" spans="2:17">
      <c r="B210" s="5"/>
      <c r="C210" s="31" t="s">
        <v>212</v>
      </c>
      <c r="D210" s="41"/>
      <c r="E210" s="160"/>
      <c r="F210" s="161"/>
      <c r="G210" s="162"/>
      <c r="H210" s="163"/>
      <c r="I210" s="164"/>
      <c r="J210" s="165"/>
      <c r="K210" s="166"/>
      <c r="L210" s="167"/>
      <c r="M210" s="168"/>
      <c r="N210" s="169"/>
      <c r="O210" s="6"/>
    </row>
    <row r="211" spans="2:17">
      <c r="B211" s="5"/>
      <c r="C211" s="34" t="s">
        <v>213</v>
      </c>
      <c r="D211" s="103"/>
      <c r="E211" s="170"/>
      <c r="F211" s="170"/>
      <c r="G211" s="104"/>
      <c r="H211" s="105"/>
      <c r="I211" s="157">
        <f>L206+L207</f>
        <v>64737661.788178086</v>
      </c>
      <c r="J211" s="158"/>
      <c r="K211" s="158"/>
      <c r="L211" s="158"/>
      <c r="M211" s="158"/>
      <c r="N211" s="159"/>
      <c r="O211" s="6"/>
    </row>
    <row r="212" spans="2:17">
      <c r="B212" s="5"/>
      <c r="C212" s="47" t="s">
        <v>214</v>
      </c>
      <c r="D212" s="60"/>
      <c r="E212" s="60"/>
      <c r="F212" s="60"/>
      <c r="G212" s="60"/>
      <c r="H212" s="61"/>
      <c r="I212" s="155">
        <f ca="1">I206*(G206+$I$204)*91/365+I208*(G208+$I$204)*91/365</f>
        <v>2207155.1991987266</v>
      </c>
      <c r="J212" s="155"/>
      <c r="K212" s="155"/>
      <c r="L212" s="155"/>
      <c r="M212" s="155"/>
      <c r="N212" s="156"/>
      <c r="O212" s="6"/>
      <c r="P212" s="106"/>
      <c r="Q212" s="48"/>
    </row>
    <row r="213" spans="2:17">
      <c r="B213" s="5"/>
      <c r="C213" s="47" t="s">
        <v>215</v>
      </c>
      <c r="D213" s="60"/>
      <c r="E213" s="60"/>
      <c r="F213" s="60"/>
      <c r="G213" s="60"/>
      <c r="H213" s="61"/>
      <c r="I213" s="157">
        <v>0</v>
      </c>
      <c r="J213" s="158"/>
      <c r="K213" s="158"/>
      <c r="L213" s="158"/>
      <c r="M213" s="158"/>
      <c r="N213" s="159"/>
      <c r="O213" s="6"/>
    </row>
    <row r="214" spans="2:17">
      <c r="B214" s="5"/>
      <c r="C214" s="68" t="s">
        <v>216</v>
      </c>
      <c r="D214" s="95"/>
      <c r="E214" s="95"/>
      <c r="F214" s="95"/>
      <c r="G214" s="95"/>
      <c r="H214" s="96"/>
      <c r="I214" s="157">
        <f ca="1">L179</f>
        <v>2207155.1991987266</v>
      </c>
      <c r="J214" s="158"/>
      <c r="K214" s="158"/>
      <c r="L214" s="158"/>
      <c r="M214" s="158"/>
      <c r="N214" s="159"/>
      <c r="O214" s="6"/>
    </row>
    <row r="215" spans="2:17">
      <c r="B215" s="5"/>
      <c r="C215" s="68" t="s">
        <v>217</v>
      </c>
      <c r="D215" s="95"/>
      <c r="E215" s="95"/>
      <c r="F215" s="95"/>
      <c r="G215" s="95"/>
      <c r="H215" s="96"/>
      <c r="I215" s="157">
        <f ca="1">I212-I214</f>
        <v>0</v>
      </c>
      <c r="J215" s="158"/>
      <c r="K215" s="158"/>
      <c r="L215" s="158"/>
      <c r="M215" s="158"/>
      <c r="N215" s="159"/>
      <c r="O215" s="6"/>
    </row>
    <row r="216" spans="2:17">
      <c r="B216" s="5"/>
      <c r="C216" s="68" t="s">
        <v>218</v>
      </c>
      <c r="D216" s="95"/>
      <c r="E216" s="95"/>
      <c r="F216" s="95"/>
      <c r="G216" s="95"/>
      <c r="H216" s="96"/>
      <c r="I216" s="157">
        <f>F180</f>
        <v>1278010.7181780823</v>
      </c>
      <c r="J216" s="158"/>
      <c r="K216" s="158"/>
      <c r="L216" s="158"/>
      <c r="M216" s="158"/>
      <c r="N216" s="159"/>
      <c r="O216" s="6"/>
    </row>
    <row r="217" spans="2:17">
      <c r="B217" s="5"/>
      <c r="C217" s="68" t="s">
        <v>219</v>
      </c>
      <c r="D217" s="95"/>
      <c r="E217" s="95"/>
      <c r="F217" s="95"/>
      <c r="G217" s="95"/>
      <c r="H217" s="96"/>
      <c r="I217" s="157">
        <v>0</v>
      </c>
      <c r="J217" s="158"/>
      <c r="K217" s="158"/>
      <c r="L217" s="158"/>
      <c r="M217" s="158"/>
      <c r="N217" s="159"/>
      <c r="O217" s="6"/>
    </row>
    <row r="218" spans="2:17" ht="15" thickBot="1">
      <c r="B218" s="5"/>
      <c r="C218" s="69" t="s">
        <v>220</v>
      </c>
      <c r="D218" s="107"/>
      <c r="E218" s="107"/>
      <c r="F218" s="107"/>
      <c r="G218" s="107"/>
      <c r="H218" s="108"/>
      <c r="I218" s="152">
        <f ca="1">I211+I215-I216</f>
        <v>63459651.070000008</v>
      </c>
      <c r="J218" s="153"/>
      <c r="K218" s="153"/>
      <c r="L218" s="153"/>
      <c r="M218" s="153"/>
      <c r="N218" s="154"/>
      <c r="O218" s="6"/>
    </row>
    <row r="219" spans="2:17" ht="15" thickBot="1">
      <c r="B219" s="109"/>
      <c r="C219" s="110"/>
      <c r="D219" s="110"/>
      <c r="E219" s="110"/>
      <c r="F219" s="110"/>
      <c r="G219" s="110"/>
      <c r="H219" s="110"/>
      <c r="I219" s="110"/>
      <c r="J219" s="110"/>
      <c r="K219" s="110"/>
      <c r="L219" s="110"/>
      <c r="M219" s="110"/>
      <c r="N219" s="110"/>
      <c r="O219" s="58"/>
    </row>
  </sheetData>
  <mergeCells count="415">
    <mergeCell ref="J12:N12"/>
    <mergeCell ref="J13:N13"/>
    <mergeCell ref="C14:E15"/>
    <mergeCell ref="J14:N14"/>
    <mergeCell ref="J15:N15"/>
    <mergeCell ref="J16:N16"/>
    <mergeCell ref="C3:N4"/>
    <mergeCell ref="C6:N6"/>
    <mergeCell ref="J8:N8"/>
    <mergeCell ref="J9:N9"/>
    <mergeCell ref="C10:E11"/>
    <mergeCell ref="J10:N10"/>
    <mergeCell ref="J11:N11"/>
    <mergeCell ref="J17:N17"/>
    <mergeCell ref="J18:N18"/>
    <mergeCell ref="J19:N19"/>
    <mergeCell ref="J20:N20"/>
    <mergeCell ref="C22:N22"/>
    <mergeCell ref="G23:H23"/>
    <mergeCell ref="I23:J23"/>
    <mergeCell ref="K23:L23"/>
    <mergeCell ref="M23:N23"/>
    <mergeCell ref="G26:H26"/>
    <mergeCell ref="I26:J26"/>
    <mergeCell ref="K26:L26"/>
    <mergeCell ref="M26:N26"/>
    <mergeCell ref="G27:H27"/>
    <mergeCell ref="I27:J27"/>
    <mergeCell ref="K27:L27"/>
    <mergeCell ref="M27:N27"/>
    <mergeCell ref="G24:H24"/>
    <mergeCell ref="I24:J24"/>
    <mergeCell ref="K24:L24"/>
    <mergeCell ref="M24:N24"/>
    <mergeCell ref="G25:H25"/>
    <mergeCell ref="I25:J25"/>
    <mergeCell ref="K25:L25"/>
    <mergeCell ref="M25:N25"/>
    <mergeCell ref="G30:H30"/>
    <mergeCell ref="I30:J30"/>
    <mergeCell ref="K30:L30"/>
    <mergeCell ref="M30:N30"/>
    <mergeCell ref="G31:H31"/>
    <mergeCell ref="I31:J31"/>
    <mergeCell ref="K31:L31"/>
    <mergeCell ref="M31:N31"/>
    <mergeCell ref="G28:H28"/>
    <mergeCell ref="I28:J28"/>
    <mergeCell ref="K28:L28"/>
    <mergeCell ref="M28:N28"/>
    <mergeCell ref="G29:H29"/>
    <mergeCell ref="I29:J29"/>
    <mergeCell ref="K29:L29"/>
    <mergeCell ref="M29:N29"/>
    <mergeCell ref="G34:H34"/>
    <mergeCell ref="I34:J34"/>
    <mergeCell ref="K34:L34"/>
    <mergeCell ref="M34:N34"/>
    <mergeCell ref="G35:H35"/>
    <mergeCell ref="I35:J35"/>
    <mergeCell ref="K35:L35"/>
    <mergeCell ref="M35:N35"/>
    <mergeCell ref="G32:H32"/>
    <mergeCell ref="I32:J32"/>
    <mergeCell ref="K32:L32"/>
    <mergeCell ref="M32:N32"/>
    <mergeCell ref="G33:H33"/>
    <mergeCell ref="I33:J33"/>
    <mergeCell ref="K33:L33"/>
    <mergeCell ref="M33:N33"/>
    <mergeCell ref="G38:H38"/>
    <mergeCell ref="I38:J38"/>
    <mergeCell ref="K38:L38"/>
    <mergeCell ref="M38:N38"/>
    <mergeCell ref="G39:H39"/>
    <mergeCell ref="I39:J39"/>
    <mergeCell ref="K39:L39"/>
    <mergeCell ref="M39:N39"/>
    <mergeCell ref="G36:H36"/>
    <mergeCell ref="I36:J36"/>
    <mergeCell ref="K36:L36"/>
    <mergeCell ref="M36:N36"/>
    <mergeCell ref="G37:H37"/>
    <mergeCell ref="I37:J37"/>
    <mergeCell ref="K37:L37"/>
    <mergeCell ref="M37:N37"/>
    <mergeCell ref="G42:H42"/>
    <mergeCell ref="I42:J42"/>
    <mergeCell ref="K42:L42"/>
    <mergeCell ref="M42:N42"/>
    <mergeCell ref="G43:H43"/>
    <mergeCell ref="I43:J43"/>
    <mergeCell ref="K43:L43"/>
    <mergeCell ref="M43:N43"/>
    <mergeCell ref="G40:H40"/>
    <mergeCell ref="I40:J40"/>
    <mergeCell ref="K40:L40"/>
    <mergeCell ref="M40:N40"/>
    <mergeCell ref="G41:H41"/>
    <mergeCell ref="I41:J41"/>
    <mergeCell ref="K41:L41"/>
    <mergeCell ref="M41:N41"/>
    <mergeCell ref="G46:H46"/>
    <mergeCell ref="I46:J46"/>
    <mergeCell ref="K46:L46"/>
    <mergeCell ref="M46:N46"/>
    <mergeCell ref="G47:H47"/>
    <mergeCell ref="I47:J47"/>
    <mergeCell ref="K47:L47"/>
    <mergeCell ref="M47:N47"/>
    <mergeCell ref="G44:H44"/>
    <mergeCell ref="I44:J44"/>
    <mergeCell ref="K44:L44"/>
    <mergeCell ref="M44:N44"/>
    <mergeCell ref="G45:H45"/>
    <mergeCell ref="I45:J45"/>
    <mergeCell ref="K45:L45"/>
    <mergeCell ref="M45:N45"/>
    <mergeCell ref="C51:N51"/>
    <mergeCell ref="C52:N52"/>
    <mergeCell ref="J53:N53"/>
    <mergeCell ref="J54:N54"/>
    <mergeCell ref="J55:N55"/>
    <mergeCell ref="J56:M56"/>
    <mergeCell ref="G48:H48"/>
    <mergeCell ref="I48:J48"/>
    <mergeCell ref="K48:L48"/>
    <mergeCell ref="M48:N48"/>
    <mergeCell ref="G49:H49"/>
    <mergeCell ref="I49:J49"/>
    <mergeCell ref="K49:L49"/>
    <mergeCell ref="M49:N49"/>
    <mergeCell ref="J63:N63"/>
    <mergeCell ref="J64:M64"/>
    <mergeCell ref="J65:M65"/>
    <mergeCell ref="J66:N66"/>
    <mergeCell ref="J67:M67"/>
    <mergeCell ref="J68:M68"/>
    <mergeCell ref="J57:M57"/>
    <mergeCell ref="J58:M58"/>
    <mergeCell ref="C59:N59"/>
    <mergeCell ref="J60:N60"/>
    <mergeCell ref="J61:M61"/>
    <mergeCell ref="J62:M62"/>
    <mergeCell ref="J75:M75"/>
    <mergeCell ref="J76:M76"/>
    <mergeCell ref="J77:M77"/>
    <mergeCell ref="J78:M78"/>
    <mergeCell ref="J79:N79"/>
    <mergeCell ref="C80:N80"/>
    <mergeCell ref="J69:M69"/>
    <mergeCell ref="J70:L70"/>
    <mergeCell ref="J71:L71"/>
    <mergeCell ref="J72:M72"/>
    <mergeCell ref="J73:L73"/>
    <mergeCell ref="J74:L74"/>
    <mergeCell ref="J87:M87"/>
    <mergeCell ref="J88:M88"/>
    <mergeCell ref="J89:M89"/>
    <mergeCell ref="J90:M90"/>
    <mergeCell ref="C91:N91"/>
    <mergeCell ref="J92:N92"/>
    <mergeCell ref="J81:N81"/>
    <mergeCell ref="J82:M82"/>
    <mergeCell ref="J83:M83"/>
    <mergeCell ref="J84:M84"/>
    <mergeCell ref="J85:L85"/>
    <mergeCell ref="J86:L86"/>
    <mergeCell ref="J100:M100"/>
    <mergeCell ref="J101:M101"/>
    <mergeCell ref="J102:M102"/>
    <mergeCell ref="J103:M103"/>
    <mergeCell ref="J104:M104"/>
    <mergeCell ref="J105:M105"/>
    <mergeCell ref="J93:M93"/>
    <mergeCell ref="J94:M94"/>
    <mergeCell ref="J95:M95"/>
    <mergeCell ref="J96:M96"/>
    <mergeCell ref="C98:N98"/>
    <mergeCell ref="J99:N99"/>
    <mergeCell ref="G114:H114"/>
    <mergeCell ref="I114:J114"/>
    <mergeCell ref="K114:L114"/>
    <mergeCell ref="M114:N114"/>
    <mergeCell ref="G115:H115"/>
    <mergeCell ref="I115:J115"/>
    <mergeCell ref="K115:L115"/>
    <mergeCell ref="M115:N115"/>
    <mergeCell ref="C107:N107"/>
    <mergeCell ref="I108:N108"/>
    <mergeCell ref="I109:N109"/>
    <mergeCell ref="I110:N110"/>
    <mergeCell ref="C112:N112"/>
    <mergeCell ref="G113:H113"/>
    <mergeCell ref="I113:J113"/>
    <mergeCell ref="K113:L113"/>
    <mergeCell ref="M113:N113"/>
    <mergeCell ref="J123:L123"/>
    <mergeCell ref="J124:L124"/>
    <mergeCell ref="J125:L125"/>
    <mergeCell ref="J126:L126"/>
    <mergeCell ref="J127:L127"/>
    <mergeCell ref="J128:L128"/>
    <mergeCell ref="C117:N117"/>
    <mergeCell ref="J118:M118"/>
    <mergeCell ref="J119:M119"/>
    <mergeCell ref="J120:M120"/>
    <mergeCell ref="J121:N121"/>
    <mergeCell ref="J122:M122"/>
    <mergeCell ref="J129:L129"/>
    <mergeCell ref="J130:N130"/>
    <mergeCell ref="J131:M131"/>
    <mergeCell ref="J132:N132"/>
    <mergeCell ref="C134:N134"/>
    <mergeCell ref="C135:E135"/>
    <mergeCell ref="F135:H135"/>
    <mergeCell ref="I135:K135"/>
    <mergeCell ref="L135:N135"/>
    <mergeCell ref="F138:G138"/>
    <mergeCell ref="I138:J138"/>
    <mergeCell ref="L138:M138"/>
    <mergeCell ref="F139:G139"/>
    <mergeCell ref="I139:J139"/>
    <mergeCell ref="L139:M139"/>
    <mergeCell ref="F136:H136"/>
    <mergeCell ref="I136:K136"/>
    <mergeCell ref="L136:N136"/>
    <mergeCell ref="F137:H137"/>
    <mergeCell ref="I137:K137"/>
    <mergeCell ref="L137:N137"/>
    <mergeCell ref="F142:G142"/>
    <mergeCell ref="I142:J142"/>
    <mergeCell ref="L142:M142"/>
    <mergeCell ref="F143:H143"/>
    <mergeCell ref="I143:K143"/>
    <mergeCell ref="L143:N143"/>
    <mergeCell ref="F140:H140"/>
    <mergeCell ref="I140:K140"/>
    <mergeCell ref="L140:N140"/>
    <mergeCell ref="F141:G141"/>
    <mergeCell ref="I141:J141"/>
    <mergeCell ref="L141:M141"/>
    <mergeCell ref="F146:G146"/>
    <mergeCell ref="I146:J146"/>
    <mergeCell ref="L146:M146"/>
    <mergeCell ref="F147:H147"/>
    <mergeCell ref="I147:K147"/>
    <mergeCell ref="L147:N147"/>
    <mergeCell ref="F144:G144"/>
    <mergeCell ref="I144:J144"/>
    <mergeCell ref="L144:M144"/>
    <mergeCell ref="F145:G145"/>
    <mergeCell ref="I145:J145"/>
    <mergeCell ref="L145:M145"/>
    <mergeCell ref="F150:G150"/>
    <mergeCell ref="I150:J150"/>
    <mergeCell ref="L150:M150"/>
    <mergeCell ref="F151:G151"/>
    <mergeCell ref="I151:J151"/>
    <mergeCell ref="L151:M151"/>
    <mergeCell ref="F148:H148"/>
    <mergeCell ref="I148:K148"/>
    <mergeCell ref="L148:N148"/>
    <mergeCell ref="F149:H149"/>
    <mergeCell ref="I149:K149"/>
    <mergeCell ref="L149:N149"/>
    <mergeCell ref="F154:H154"/>
    <mergeCell ref="I154:K154"/>
    <mergeCell ref="L154:N154"/>
    <mergeCell ref="F155:H155"/>
    <mergeCell ref="I155:K155"/>
    <mergeCell ref="L155:N155"/>
    <mergeCell ref="F152:G152"/>
    <mergeCell ref="I152:J152"/>
    <mergeCell ref="L152:M152"/>
    <mergeCell ref="F153:H153"/>
    <mergeCell ref="I153:K153"/>
    <mergeCell ref="L153:N153"/>
    <mergeCell ref="F158:H158"/>
    <mergeCell ref="I158:K158"/>
    <mergeCell ref="L158:N158"/>
    <mergeCell ref="F159:H159"/>
    <mergeCell ref="I159:K159"/>
    <mergeCell ref="L159:N159"/>
    <mergeCell ref="F156:H156"/>
    <mergeCell ref="I156:K156"/>
    <mergeCell ref="L156:N156"/>
    <mergeCell ref="F157:H157"/>
    <mergeCell ref="I157:K157"/>
    <mergeCell ref="L157:N157"/>
    <mergeCell ref="F162:G162"/>
    <mergeCell ref="I162:J162"/>
    <mergeCell ref="L162:M162"/>
    <mergeCell ref="F163:G163"/>
    <mergeCell ref="I163:J163"/>
    <mergeCell ref="L163:M163"/>
    <mergeCell ref="F160:G160"/>
    <mergeCell ref="I160:J160"/>
    <mergeCell ref="L160:M160"/>
    <mergeCell ref="F161:G161"/>
    <mergeCell ref="I161:J161"/>
    <mergeCell ref="L161:M161"/>
    <mergeCell ref="F166:H166"/>
    <mergeCell ref="I166:K166"/>
    <mergeCell ref="L166:N166"/>
    <mergeCell ref="F167:H167"/>
    <mergeCell ref="I167:K167"/>
    <mergeCell ref="L167:N167"/>
    <mergeCell ref="F164:G164"/>
    <mergeCell ref="I164:J164"/>
    <mergeCell ref="L164:M164"/>
    <mergeCell ref="F165:G165"/>
    <mergeCell ref="I165:J165"/>
    <mergeCell ref="L165:M165"/>
    <mergeCell ref="F170:G170"/>
    <mergeCell ref="I170:J170"/>
    <mergeCell ref="L170:M170"/>
    <mergeCell ref="F171:H171"/>
    <mergeCell ref="I171:K171"/>
    <mergeCell ref="L171:N171"/>
    <mergeCell ref="F168:H168"/>
    <mergeCell ref="I168:K168"/>
    <mergeCell ref="L168:N168"/>
    <mergeCell ref="F169:G169"/>
    <mergeCell ref="I169:J169"/>
    <mergeCell ref="L169:M169"/>
    <mergeCell ref="F174:G174"/>
    <mergeCell ref="I174:J174"/>
    <mergeCell ref="L174:M174"/>
    <mergeCell ref="F175:H175"/>
    <mergeCell ref="I175:K175"/>
    <mergeCell ref="L175:N175"/>
    <mergeCell ref="F172:H172"/>
    <mergeCell ref="I172:K172"/>
    <mergeCell ref="L172:N172"/>
    <mergeCell ref="F173:H173"/>
    <mergeCell ref="I173:K173"/>
    <mergeCell ref="L173:N173"/>
    <mergeCell ref="F178:H178"/>
    <mergeCell ref="I178:K178"/>
    <mergeCell ref="L178:N178"/>
    <mergeCell ref="F179:G179"/>
    <mergeCell ref="I179:J179"/>
    <mergeCell ref="L179:M179"/>
    <mergeCell ref="F176:H176"/>
    <mergeCell ref="I176:K176"/>
    <mergeCell ref="L176:N176"/>
    <mergeCell ref="F177:H177"/>
    <mergeCell ref="I177:K177"/>
    <mergeCell ref="L177:N177"/>
    <mergeCell ref="F182:H182"/>
    <mergeCell ref="I182:K182"/>
    <mergeCell ref="L182:N182"/>
    <mergeCell ref="F183:H183"/>
    <mergeCell ref="I183:K183"/>
    <mergeCell ref="L183:N183"/>
    <mergeCell ref="F180:G180"/>
    <mergeCell ref="I180:J180"/>
    <mergeCell ref="L180:M180"/>
    <mergeCell ref="F181:G181"/>
    <mergeCell ref="I181:J181"/>
    <mergeCell ref="L181:M181"/>
    <mergeCell ref="I189:N189"/>
    <mergeCell ref="I190:N190"/>
    <mergeCell ref="I191:N191"/>
    <mergeCell ref="I192:N192"/>
    <mergeCell ref="C194:N194"/>
    <mergeCell ref="I195:N195"/>
    <mergeCell ref="F184:H184"/>
    <mergeCell ref="I184:K184"/>
    <mergeCell ref="L184:N184"/>
    <mergeCell ref="C186:N186"/>
    <mergeCell ref="I187:N187"/>
    <mergeCell ref="I188:N188"/>
    <mergeCell ref="C203:N203"/>
    <mergeCell ref="I204:N204"/>
    <mergeCell ref="E205:F205"/>
    <mergeCell ref="G205:H205"/>
    <mergeCell ref="I205:K205"/>
    <mergeCell ref="L205:N205"/>
    <mergeCell ref="I196:N196"/>
    <mergeCell ref="I197:N197"/>
    <mergeCell ref="I198:N198"/>
    <mergeCell ref="I199:N199"/>
    <mergeCell ref="I200:N200"/>
    <mergeCell ref="I201:N201"/>
    <mergeCell ref="E208:F208"/>
    <mergeCell ref="G208:H208"/>
    <mergeCell ref="I208:K208"/>
    <mergeCell ref="L208:N208"/>
    <mergeCell ref="E209:F209"/>
    <mergeCell ref="G209:H209"/>
    <mergeCell ref="I209:K209"/>
    <mergeCell ref="L209:N209"/>
    <mergeCell ref="E206:F206"/>
    <mergeCell ref="G206:H206"/>
    <mergeCell ref="I206:K206"/>
    <mergeCell ref="L206:N206"/>
    <mergeCell ref="E207:F207"/>
    <mergeCell ref="G207:H207"/>
    <mergeCell ref="I207:K207"/>
    <mergeCell ref="L207:N207"/>
    <mergeCell ref="I218:N218"/>
    <mergeCell ref="I212:N212"/>
    <mergeCell ref="I213:N213"/>
    <mergeCell ref="I214:N214"/>
    <mergeCell ref="I215:N215"/>
    <mergeCell ref="I216:N216"/>
    <mergeCell ref="I217:N217"/>
    <mergeCell ref="E210:F210"/>
    <mergeCell ref="G210:H210"/>
    <mergeCell ref="I210:K210"/>
    <mergeCell ref="L210:N210"/>
    <mergeCell ref="E211:F211"/>
    <mergeCell ref="I211:N211"/>
  </mergeCells>
  <pageMargins left="0.7" right="0.7" top="0.75" bottom="0.75" header="0.3" footer="0.3"/>
  <pageSetup paperSize="9" scale="54" fitToHeight="0" orientation="portrait" r:id="rId1"/>
  <ignoredErrors>
    <ignoredError sqref="I137:K178" formula="1"/>
    <ignoredError sqref="G34:L50" formulaRange="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EE7E8-AC24-4CFB-A84F-FCD9881D0AE0}">
  <sheetPr>
    <pageSetUpPr fitToPage="1"/>
  </sheetPr>
  <dimension ref="B1:T118"/>
  <sheetViews>
    <sheetView topLeftCell="B103" zoomScaleNormal="100" workbookViewId="0">
      <selection activeCell="R30" sqref="R30"/>
    </sheetView>
  </sheetViews>
  <sheetFormatPr defaultColWidth="9.109375" defaultRowHeight="14.4"/>
  <cols>
    <col min="1" max="1" width="9.109375" style="1"/>
    <col min="2" max="2" width="3.44140625" style="1" customWidth="1"/>
    <col min="3" max="3" width="37.6640625" style="1" customWidth="1"/>
    <col min="4" max="13" width="9.109375" style="1"/>
    <col min="14" max="14" width="10.44140625" style="1" customWidth="1"/>
    <col min="15" max="15" width="4" style="1" customWidth="1"/>
    <col min="16" max="16" width="11.21875" style="1" bestFit="1" customWidth="1"/>
    <col min="17" max="17" width="12.88671875" style="1" bestFit="1" customWidth="1"/>
    <col min="18" max="18" width="12.21875" style="1" bestFit="1" customWidth="1"/>
    <col min="19" max="19" width="13.88671875" style="1" bestFit="1" customWidth="1"/>
    <col min="20" max="21" width="11.21875" style="1" bestFit="1" customWidth="1"/>
    <col min="22" max="16384" width="9.109375" style="1"/>
  </cols>
  <sheetData>
    <row r="1" spans="2:15" ht="15" thickBot="1"/>
    <row r="2" spans="2:15" ht="15" thickBot="1">
      <c r="B2" s="2"/>
      <c r="C2" s="3"/>
      <c r="D2" s="3"/>
      <c r="E2" s="3"/>
      <c r="F2" s="3"/>
      <c r="G2" s="3"/>
      <c r="H2" s="3"/>
      <c r="I2" s="3"/>
      <c r="J2" s="3"/>
      <c r="K2" s="3"/>
      <c r="L2" s="3"/>
      <c r="M2" s="3"/>
      <c r="N2" s="3"/>
      <c r="O2" s="4"/>
    </row>
    <row r="3" spans="2:15" ht="20.25" customHeight="1">
      <c r="B3" s="5"/>
      <c r="C3" s="332" t="s">
        <v>0</v>
      </c>
      <c r="D3" s="333"/>
      <c r="E3" s="333"/>
      <c r="F3" s="333"/>
      <c r="G3" s="333"/>
      <c r="H3" s="333"/>
      <c r="I3" s="333"/>
      <c r="J3" s="333"/>
      <c r="K3" s="333"/>
      <c r="L3" s="333"/>
      <c r="M3" s="333"/>
      <c r="N3" s="334"/>
      <c r="O3" s="6"/>
    </row>
    <row r="4" spans="2:15" ht="20.25" customHeight="1" thickBot="1">
      <c r="B4" s="5"/>
      <c r="C4" s="335"/>
      <c r="D4" s="336"/>
      <c r="E4" s="336"/>
      <c r="F4" s="336"/>
      <c r="G4" s="336"/>
      <c r="H4" s="336"/>
      <c r="I4" s="336"/>
      <c r="J4" s="336"/>
      <c r="K4" s="336"/>
      <c r="L4" s="336"/>
      <c r="M4" s="336"/>
      <c r="N4" s="337"/>
      <c r="O4" s="6"/>
    </row>
    <row r="5" spans="2:15" ht="15" thickBot="1">
      <c r="B5" s="5"/>
      <c r="C5" s="7"/>
      <c r="D5" s="7"/>
      <c r="E5" s="7"/>
      <c r="F5" s="7"/>
      <c r="G5" s="7"/>
      <c r="H5" s="7"/>
      <c r="I5" s="7"/>
      <c r="J5" s="7"/>
      <c r="K5" s="7"/>
      <c r="L5" s="7"/>
      <c r="M5" s="7"/>
      <c r="N5" s="7"/>
      <c r="O5" s="6"/>
    </row>
    <row r="6" spans="2:15" ht="15" thickBot="1">
      <c r="B6" s="5"/>
      <c r="C6" s="338" t="s">
        <v>221</v>
      </c>
      <c r="D6" s="339"/>
      <c r="E6" s="339"/>
      <c r="F6" s="339"/>
      <c r="G6" s="339"/>
      <c r="H6" s="339"/>
      <c r="I6" s="339"/>
      <c r="J6" s="339"/>
      <c r="K6" s="339"/>
      <c r="L6" s="339"/>
      <c r="M6" s="339"/>
      <c r="N6" s="340"/>
      <c r="O6" s="6"/>
    </row>
    <row r="7" spans="2:15" ht="15" thickBot="1">
      <c r="B7" s="5"/>
      <c r="C7" s="7"/>
      <c r="D7" s="7"/>
      <c r="E7" s="7"/>
      <c r="F7" s="7"/>
      <c r="G7" s="7"/>
      <c r="H7" s="7"/>
      <c r="I7" s="7"/>
      <c r="J7" s="7"/>
      <c r="K7" s="7"/>
      <c r="L7" s="7"/>
      <c r="M7" s="7"/>
      <c r="N7" s="7"/>
      <c r="O7" s="6"/>
    </row>
    <row r="8" spans="2:15">
      <c r="B8" s="5"/>
      <c r="C8" s="8" t="s">
        <v>222</v>
      </c>
      <c r="D8" s="9"/>
      <c r="E8" s="9"/>
      <c r="F8" s="9"/>
      <c r="G8" s="9"/>
      <c r="H8" s="9"/>
      <c r="I8" s="10"/>
      <c r="J8" s="341">
        <f>J9+10</f>
        <v>44510</v>
      </c>
      <c r="K8" s="341"/>
      <c r="L8" s="341"/>
      <c r="M8" s="341"/>
      <c r="N8" s="342"/>
      <c r="O8" s="6"/>
    </row>
    <row r="9" spans="2:15">
      <c r="B9" s="5"/>
      <c r="C9" s="11" t="s">
        <v>223</v>
      </c>
      <c r="D9" s="12"/>
      <c r="E9" s="12"/>
      <c r="F9" s="12"/>
      <c r="G9" s="12"/>
      <c r="H9" s="12"/>
      <c r="I9" s="13"/>
      <c r="J9" s="324">
        <v>44500</v>
      </c>
      <c r="K9" s="324"/>
      <c r="L9" s="324"/>
      <c r="M9" s="324"/>
      <c r="N9" s="325"/>
      <c r="O9" s="6"/>
    </row>
    <row r="10" spans="2:15">
      <c r="B10" s="5"/>
      <c r="C10" s="326" t="s">
        <v>4</v>
      </c>
      <c r="D10" s="327"/>
      <c r="E10" s="343"/>
      <c r="F10" s="14" t="s">
        <v>224</v>
      </c>
      <c r="G10" s="12"/>
      <c r="H10" s="12"/>
      <c r="I10" s="13"/>
      <c r="J10" s="324">
        <v>44408</v>
      </c>
      <c r="K10" s="324"/>
      <c r="L10" s="324"/>
      <c r="M10" s="324"/>
      <c r="N10" s="325"/>
      <c r="O10" s="6"/>
    </row>
    <row r="11" spans="2:15">
      <c r="B11" s="5"/>
      <c r="C11" s="329"/>
      <c r="D11" s="330"/>
      <c r="E11" s="328"/>
      <c r="F11" s="15" t="s">
        <v>225</v>
      </c>
      <c r="G11" s="12"/>
      <c r="H11" s="12"/>
      <c r="I11" s="13"/>
      <c r="J11" s="324">
        <f>J9</f>
        <v>44500</v>
      </c>
      <c r="K11" s="324"/>
      <c r="L11" s="324"/>
      <c r="M11" s="324"/>
      <c r="N11" s="325"/>
      <c r="O11" s="6"/>
    </row>
    <row r="12" spans="2:15">
      <c r="B12" s="5"/>
      <c r="C12" s="111" t="s">
        <v>226</v>
      </c>
      <c r="D12" s="17"/>
      <c r="E12" s="112"/>
      <c r="F12" s="19"/>
      <c r="G12" s="12"/>
      <c r="H12" s="12"/>
      <c r="I12" s="13"/>
      <c r="J12" s="322">
        <f>J11-J10</f>
        <v>92</v>
      </c>
      <c r="K12" s="322"/>
      <c r="L12" s="322"/>
      <c r="M12" s="322"/>
      <c r="N12" s="323"/>
      <c r="O12" s="6"/>
    </row>
    <row r="13" spans="2:15">
      <c r="B13" s="5"/>
      <c r="C13" s="326" t="s">
        <v>227</v>
      </c>
      <c r="D13" s="327"/>
      <c r="E13" s="343"/>
      <c r="F13" s="14" t="s">
        <v>228</v>
      </c>
      <c r="G13" s="19"/>
      <c r="H13" s="19"/>
      <c r="I13" s="21"/>
      <c r="J13" s="432" t="s">
        <v>229</v>
      </c>
      <c r="K13" s="432"/>
      <c r="L13" s="432"/>
      <c r="M13" s="432"/>
      <c r="N13" s="433"/>
      <c r="O13" s="6"/>
    </row>
    <row r="14" spans="2:15">
      <c r="B14" s="5"/>
      <c r="C14" s="329"/>
      <c r="D14" s="330"/>
      <c r="E14" s="331"/>
      <c r="F14" s="14" t="s">
        <v>230</v>
      </c>
      <c r="G14" s="19"/>
      <c r="H14" s="19"/>
      <c r="I14" s="21"/>
      <c r="J14" s="432" t="s">
        <v>229</v>
      </c>
      <c r="K14" s="432"/>
      <c r="L14" s="432"/>
      <c r="M14" s="432"/>
      <c r="N14" s="433"/>
      <c r="O14" s="6"/>
    </row>
    <row r="15" spans="2:15">
      <c r="B15" s="5"/>
      <c r="C15" s="16" t="s">
        <v>231</v>
      </c>
      <c r="D15" s="23"/>
      <c r="E15" s="23"/>
      <c r="F15" s="19"/>
      <c r="G15" s="19"/>
      <c r="H15" s="19"/>
      <c r="I15" s="21"/>
      <c r="J15" s="324">
        <v>52366</v>
      </c>
      <c r="K15" s="324"/>
      <c r="L15" s="324"/>
      <c r="M15" s="324"/>
      <c r="N15" s="325"/>
      <c r="O15" s="6"/>
    </row>
    <row r="16" spans="2:15">
      <c r="B16" s="5"/>
      <c r="C16" s="16" t="s">
        <v>232</v>
      </c>
      <c r="D16" s="23"/>
      <c r="E16" s="23"/>
      <c r="F16" s="19"/>
      <c r="G16" s="19"/>
      <c r="H16" s="19"/>
      <c r="I16" s="21"/>
      <c r="J16" s="434">
        <v>3.6749999999999998E-2</v>
      </c>
      <c r="K16" s="434"/>
      <c r="L16" s="434"/>
      <c r="M16" s="434"/>
      <c r="N16" s="435"/>
      <c r="O16" s="6"/>
    </row>
    <row r="17" spans="2:20">
      <c r="B17" s="5"/>
      <c r="C17" s="326" t="s">
        <v>233</v>
      </c>
      <c r="D17" s="327"/>
      <c r="E17" s="343"/>
      <c r="F17" s="19" t="s">
        <v>234</v>
      </c>
      <c r="G17" s="19"/>
      <c r="H17" s="19"/>
      <c r="I17" s="21"/>
      <c r="J17" s="324">
        <v>44424</v>
      </c>
      <c r="K17" s="324"/>
      <c r="L17" s="324"/>
      <c r="M17" s="324"/>
      <c r="N17" s="325"/>
      <c r="O17" s="6"/>
    </row>
    <row r="18" spans="2:20">
      <c r="B18" s="5"/>
      <c r="C18" s="329"/>
      <c r="D18" s="330"/>
      <c r="E18" s="331"/>
      <c r="F18" s="19" t="s">
        <v>235</v>
      </c>
      <c r="G18" s="19"/>
      <c r="H18" s="19"/>
      <c r="I18" s="21"/>
      <c r="J18" s="324">
        <v>44515</v>
      </c>
      <c r="K18" s="324"/>
      <c r="L18" s="324"/>
      <c r="M18" s="324"/>
      <c r="N18" s="325"/>
      <c r="O18" s="6"/>
    </row>
    <row r="19" spans="2:20">
      <c r="B19" s="5"/>
      <c r="C19" s="20" t="s">
        <v>236</v>
      </c>
      <c r="D19" s="19"/>
      <c r="E19" s="19"/>
      <c r="F19" s="19"/>
      <c r="G19" s="19"/>
      <c r="H19" s="19"/>
      <c r="I19" s="21"/>
      <c r="J19" s="430" t="s">
        <v>17</v>
      </c>
      <c r="K19" s="430"/>
      <c r="L19" s="430"/>
      <c r="M19" s="430"/>
      <c r="N19" s="431"/>
      <c r="O19" s="6"/>
    </row>
    <row r="20" spans="2:20" ht="15" thickBot="1">
      <c r="B20" s="5"/>
      <c r="C20" s="32" t="s">
        <v>237</v>
      </c>
      <c r="D20" s="113"/>
      <c r="E20" s="113"/>
      <c r="F20" s="113"/>
      <c r="G20" s="113"/>
      <c r="H20" s="113"/>
      <c r="I20" s="113"/>
      <c r="J20" s="316" t="s">
        <v>238</v>
      </c>
      <c r="K20" s="316"/>
      <c r="L20" s="316"/>
      <c r="M20" s="316"/>
      <c r="N20" s="317"/>
      <c r="O20" s="6"/>
    </row>
    <row r="21" spans="2:20" ht="15" thickBot="1">
      <c r="B21" s="5"/>
      <c r="C21" s="5"/>
      <c r="D21" s="7"/>
      <c r="E21" s="7"/>
      <c r="F21" s="7"/>
      <c r="G21" s="7"/>
      <c r="H21" s="7"/>
      <c r="I21" s="7"/>
      <c r="J21" s="7"/>
      <c r="K21" s="7"/>
      <c r="L21" s="7"/>
      <c r="M21" s="7"/>
      <c r="N21" s="6"/>
      <c r="O21" s="6"/>
    </row>
    <row r="22" spans="2:20">
      <c r="B22" s="5"/>
      <c r="C22" s="224" t="s">
        <v>239</v>
      </c>
      <c r="D22" s="225"/>
      <c r="E22" s="225"/>
      <c r="F22" s="225"/>
      <c r="G22" s="225"/>
      <c r="H22" s="225"/>
      <c r="I22" s="225"/>
      <c r="J22" s="225"/>
      <c r="K22" s="225"/>
      <c r="L22" s="225"/>
      <c r="M22" s="225"/>
      <c r="N22" s="226"/>
      <c r="O22" s="6"/>
    </row>
    <row r="23" spans="2:20">
      <c r="B23" s="5"/>
      <c r="C23" s="283" t="s">
        <v>240</v>
      </c>
      <c r="D23" s="284"/>
      <c r="E23" s="284"/>
      <c r="F23" s="284"/>
      <c r="G23" s="284"/>
      <c r="H23" s="284"/>
      <c r="I23" s="284"/>
      <c r="J23" s="284"/>
      <c r="K23" s="284"/>
      <c r="L23" s="284"/>
      <c r="M23" s="284"/>
      <c r="N23" s="285"/>
      <c r="O23" s="6"/>
    </row>
    <row r="24" spans="2:20">
      <c r="B24" s="5"/>
      <c r="C24" s="47" t="s">
        <v>241</v>
      </c>
      <c r="D24" s="114"/>
      <c r="E24" s="114"/>
      <c r="F24" s="114"/>
      <c r="G24" s="114"/>
      <c r="H24" s="114"/>
      <c r="I24" s="115"/>
      <c r="J24" s="428">
        <v>651355576.6400001</v>
      </c>
      <c r="K24" s="428"/>
      <c r="L24" s="428"/>
      <c r="M24" s="428"/>
      <c r="N24" s="429"/>
      <c r="O24" s="6"/>
    </row>
    <row r="25" spans="2:20">
      <c r="B25" s="5"/>
      <c r="C25" s="283" t="s">
        <v>242</v>
      </c>
      <c r="D25" s="284"/>
      <c r="E25" s="284"/>
      <c r="F25" s="284"/>
      <c r="G25" s="284"/>
      <c r="H25" s="284"/>
      <c r="I25" s="284"/>
      <c r="J25" s="284"/>
      <c r="K25" s="284"/>
      <c r="L25" s="284"/>
      <c r="M25" s="284"/>
      <c r="N25" s="285"/>
      <c r="O25" s="6"/>
    </row>
    <row r="26" spans="2:20">
      <c r="B26" s="5"/>
      <c r="C26" s="53" t="s">
        <v>243</v>
      </c>
      <c r="D26" s="116"/>
      <c r="E26" s="116"/>
      <c r="F26" s="116"/>
      <c r="G26" s="116"/>
      <c r="H26" s="116"/>
      <c r="I26" s="116"/>
      <c r="J26" s="289">
        <f>SUM(J27:M28)</f>
        <v>3217978.81</v>
      </c>
      <c r="K26" s="290"/>
      <c r="L26" s="290"/>
      <c r="M26" s="290"/>
      <c r="N26" s="291"/>
      <c r="O26" s="6"/>
    </row>
    <row r="27" spans="2:20">
      <c r="B27" s="5"/>
      <c r="C27" s="117" t="s">
        <v>244</v>
      </c>
      <c r="D27" s="116"/>
      <c r="E27" s="116"/>
      <c r="F27" s="116"/>
      <c r="G27" s="116"/>
      <c r="H27" s="116"/>
      <c r="I27" s="116"/>
      <c r="J27" s="416">
        <v>0</v>
      </c>
      <c r="K27" s="417"/>
      <c r="L27" s="417"/>
      <c r="M27" s="417"/>
      <c r="N27" s="118"/>
      <c r="O27" s="6"/>
      <c r="T27" s="149"/>
    </row>
    <row r="28" spans="2:20">
      <c r="B28" s="5"/>
      <c r="C28" s="117" t="s">
        <v>245</v>
      </c>
      <c r="D28" s="116"/>
      <c r="E28" s="116"/>
      <c r="F28" s="116"/>
      <c r="G28" s="116"/>
      <c r="H28" s="116"/>
      <c r="I28" s="116"/>
      <c r="J28" s="418">
        <v>3217978.81</v>
      </c>
      <c r="K28" s="419"/>
      <c r="L28" s="419"/>
      <c r="M28" s="419"/>
      <c r="N28" s="119"/>
      <c r="O28" s="6"/>
      <c r="Q28" s="120">
        <v>0</v>
      </c>
    </row>
    <row r="29" spans="2:20">
      <c r="B29" s="5"/>
      <c r="C29" s="68" t="s">
        <v>246</v>
      </c>
      <c r="D29" s="121"/>
      <c r="E29" s="121"/>
      <c r="F29" s="121"/>
      <c r="G29" s="121"/>
      <c r="H29" s="121"/>
      <c r="I29" s="121"/>
      <c r="J29" s="286">
        <v>3335234.94</v>
      </c>
      <c r="K29" s="287"/>
      <c r="L29" s="287"/>
      <c r="M29" s="287"/>
      <c r="N29" s="288"/>
      <c r="O29" s="6"/>
    </row>
    <row r="30" spans="2:20">
      <c r="B30" s="5"/>
      <c r="C30" s="283" t="s">
        <v>247</v>
      </c>
      <c r="D30" s="284"/>
      <c r="E30" s="284"/>
      <c r="F30" s="284"/>
      <c r="G30" s="284"/>
      <c r="H30" s="284"/>
      <c r="I30" s="284"/>
      <c r="J30" s="284"/>
      <c r="K30" s="284"/>
      <c r="L30" s="284"/>
      <c r="M30" s="284"/>
      <c r="N30" s="285"/>
      <c r="O30" s="6"/>
    </row>
    <row r="31" spans="2:20">
      <c r="B31" s="5"/>
      <c r="C31" s="47" t="s">
        <v>248</v>
      </c>
      <c r="D31" s="114"/>
      <c r="E31" s="114"/>
      <c r="F31" s="114"/>
      <c r="G31" s="114"/>
      <c r="H31" s="114"/>
      <c r="I31" s="115"/>
      <c r="J31" s="290">
        <f>SUM(J32:M34)</f>
        <v>24162214.950000003</v>
      </c>
      <c r="K31" s="290"/>
      <c r="L31" s="290"/>
      <c r="M31" s="290"/>
      <c r="N31" s="291"/>
      <c r="O31" s="6"/>
    </row>
    <row r="32" spans="2:20">
      <c r="B32" s="5"/>
      <c r="C32" s="31" t="s">
        <v>249</v>
      </c>
      <c r="D32" s="116"/>
      <c r="E32" s="116"/>
      <c r="F32" s="116"/>
      <c r="G32" s="116"/>
      <c r="H32" s="116"/>
      <c r="I32" s="122"/>
      <c r="J32" s="417">
        <v>7225719.959999999</v>
      </c>
      <c r="K32" s="417"/>
      <c r="L32" s="417"/>
      <c r="M32" s="417"/>
      <c r="N32" s="123"/>
      <c r="O32" s="6"/>
    </row>
    <row r="33" spans="2:19">
      <c r="B33" s="5"/>
      <c r="C33" s="31" t="s">
        <v>250</v>
      </c>
      <c r="D33" s="116"/>
      <c r="E33" s="116"/>
      <c r="F33" s="116"/>
      <c r="G33" s="116"/>
      <c r="H33" s="116"/>
      <c r="I33" s="122"/>
      <c r="J33" s="417">
        <v>16936494.990000002</v>
      </c>
      <c r="K33" s="417"/>
      <c r="L33" s="417"/>
      <c r="M33" s="417"/>
      <c r="N33" s="123"/>
      <c r="O33" s="6"/>
    </row>
    <row r="34" spans="2:19">
      <c r="B34" s="5"/>
      <c r="C34" s="40" t="s">
        <v>251</v>
      </c>
      <c r="D34" s="124"/>
      <c r="E34" s="124"/>
      <c r="F34" s="124"/>
      <c r="G34" s="124"/>
      <c r="H34" s="124"/>
      <c r="I34" s="125"/>
      <c r="J34" s="417">
        <v>0</v>
      </c>
      <c r="K34" s="417"/>
      <c r="L34" s="417"/>
      <c r="M34" s="417"/>
      <c r="N34" s="123"/>
      <c r="O34" s="6"/>
    </row>
    <row r="35" spans="2:19">
      <c r="B35" s="5"/>
      <c r="C35" s="283" t="s">
        <v>252</v>
      </c>
      <c r="D35" s="284"/>
      <c r="E35" s="284"/>
      <c r="F35" s="284"/>
      <c r="G35" s="284"/>
      <c r="H35" s="284"/>
      <c r="I35" s="284"/>
      <c r="J35" s="284"/>
      <c r="K35" s="284"/>
      <c r="L35" s="284"/>
      <c r="M35" s="284"/>
      <c r="N35" s="285"/>
      <c r="O35" s="6"/>
    </row>
    <row r="36" spans="2:19">
      <c r="B36" s="5"/>
      <c r="C36" s="47" t="s">
        <v>253</v>
      </c>
      <c r="D36" s="114"/>
      <c r="E36" s="114"/>
      <c r="F36" s="114"/>
      <c r="G36" s="114"/>
      <c r="H36" s="114"/>
      <c r="I36" s="115"/>
      <c r="J36" s="290">
        <f>SUM(J37:M39)</f>
        <v>26494212.000000004</v>
      </c>
      <c r="K36" s="290"/>
      <c r="L36" s="290"/>
      <c r="M36" s="290"/>
      <c r="N36" s="291"/>
      <c r="O36" s="6"/>
    </row>
    <row r="37" spans="2:19">
      <c r="B37" s="5"/>
      <c r="C37" s="31" t="s">
        <v>254</v>
      </c>
      <c r="D37" s="116"/>
      <c r="E37" s="116"/>
      <c r="F37" s="116"/>
      <c r="G37" s="116"/>
      <c r="H37" s="116"/>
      <c r="I37" s="122"/>
      <c r="J37" s="417">
        <v>9945271.7600000054</v>
      </c>
      <c r="K37" s="417"/>
      <c r="L37" s="417"/>
      <c r="M37" s="417"/>
      <c r="N37" s="118"/>
      <c r="O37" s="6"/>
    </row>
    <row r="38" spans="2:19">
      <c r="B38" s="5"/>
      <c r="C38" s="31" t="s">
        <v>255</v>
      </c>
      <c r="D38" s="116"/>
      <c r="E38" s="116"/>
      <c r="F38" s="116"/>
      <c r="G38" s="116"/>
      <c r="H38" s="116"/>
      <c r="I38" s="122"/>
      <c r="J38" s="417">
        <v>16548940.239999998</v>
      </c>
      <c r="K38" s="417"/>
      <c r="L38" s="417"/>
      <c r="M38" s="417"/>
      <c r="N38" s="118"/>
      <c r="O38" s="6"/>
    </row>
    <row r="39" spans="2:19">
      <c r="B39" s="5"/>
      <c r="C39" s="40" t="s">
        <v>256</v>
      </c>
      <c r="D39" s="124"/>
      <c r="E39" s="124"/>
      <c r="F39" s="124"/>
      <c r="G39" s="124"/>
      <c r="H39" s="124"/>
      <c r="I39" s="125"/>
      <c r="J39" s="417">
        <v>0</v>
      </c>
      <c r="K39" s="417"/>
      <c r="L39" s="417"/>
      <c r="M39" s="417"/>
      <c r="N39" s="118"/>
      <c r="O39" s="6"/>
    </row>
    <row r="40" spans="2:19">
      <c r="B40" s="5"/>
      <c r="C40" s="53" t="s">
        <v>257</v>
      </c>
      <c r="D40" s="116"/>
      <c r="E40" s="116"/>
      <c r="F40" s="116"/>
      <c r="G40" s="116"/>
      <c r="H40" s="116"/>
      <c r="I40" s="122"/>
      <c r="J40" s="286">
        <v>0</v>
      </c>
      <c r="K40" s="287"/>
      <c r="L40" s="287"/>
      <c r="M40" s="287"/>
      <c r="N40" s="288"/>
      <c r="O40" s="6"/>
      <c r="P40" s="126"/>
      <c r="S40" s="120"/>
    </row>
    <row r="41" spans="2:19">
      <c r="B41" s="5"/>
      <c r="C41" s="68" t="s">
        <v>258</v>
      </c>
      <c r="D41" s="121"/>
      <c r="E41" s="121"/>
      <c r="F41" s="121"/>
      <c r="G41" s="121"/>
      <c r="H41" s="121"/>
      <c r="I41" s="127"/>
      <c r="J41" s="286">
        <v>0</v>
      </c>
      <c r="K41" s="287"/>
      <c r="L41" s="287"/>
      <c r="M41" s="287"/>
      <c r="N41" s="288"/>
      <c r="O41" s="6"/>
    </row>
    <row r="42" spans="2:19">
      <c r="B42" s="5"/>
      <c r="C42" s="68" t="s">
        <v>259</v>
      </c>
      <c r="D42" s="121"/>
      <c r="E42" s="121"/>
      <c r="F42" s="121"/>
      <c r="G42" s="121"/>
      <c r="H42" s="121"/>
      <c r="I42" s="127"/>
      <c r="J42" s="286">
        <v>0</v>
      </c>
      <c r="K42" s="287"/>
      <c r="L42" s="287"/>
      <c r="M42" s="287"/>
      <c r="N42" s="288"/>
      <c r="O42" s="6"/>
    </row>
    <row r="43" spans="2:19" ht="13.8" customHeight="1">
      <c r="B43" s="5"/>
      <c r="C43" s="47" t="s">
        <v>260</v>
      </c>
      <c r="D43" s="114"/>
      <c r="E43" s="114"/>
      <c r="F43" s="114"/>
      <c r="G43" s="114"/>
      <c r="H43" s="114"/>
      <c r="I43" s="114"/>
      <c r="J43" s="289">
        <f>SUM(J44:M45)</f>
        <v>3424477.63</v>
      </c>
      <c r="K43" s="290"/>
      <c r="L43" s="290"/>
      <c r="M43" s="290"/>
      <c r="N43" s="291"/>
      <c r="O43" s="6"/>
    </row>
    <row r="44" spans="2:19">
      <c r="B44" s="5"/>
      <c r="C44" s="117" t="s">
        <v>261</v>
      </c>
      <c r="D44" s="116"/>
      <c r="E44" s="116"/>
      <c r="F44" s="116"/>
      <c r="G44" s="116"/>
      <c r="H44" s="116"/>
      <c r="I44" s="116"/>
      <c r="J44" s="423">
        <v>0</v>
      </c>
      <c r="K44" s="424"/>
      <c r="L44" s="424"/>
      <c r="M44" s="424"/>
      <c r="N44" s="128"/>
      <c r="O44" s="6"/>
    </row>
    <row r="45" spans="2:19">
      <c r="B45" s="5"/>
      <c r="C45" s="129" t="s">
        <v>262</v>
      </c>
      <c r="D45" s="124"/>
      <c r="E45" s="124"/>
      <c r="F45" s="124"/>
      <c r="G45" s="124"/>
      <c r="H45" s="124"/>
      <c r="I45" s="124"/>
      <c r="J45" s="418">
        <v>3424477.63</v>
      </c>
      <c r="K45" s="419"/>
      <c r="L45" s="419"/>
      <c r="M45" s="419"/>
      <c r="N45" s="130"/>
      <c r="O45" s="6"/>
    </row>
    <row r="46" spans="2:19">
      <c r="B46" s="5"/>
      <c r="C46" s="425" t="s">
        <v>263</v>
      </c>
      <c r="D46" s="426"/>
      <c r="E46" s="426"/>
      <c r="F46" s="426"/>
      <c r="G46" s="426"/>
      <c r="H46" s="426"/>
      <c r="I46" s="426"/>
      <c r="J46" s="426"/>
      <c r="K46" s="426"/>
      <c r="L46" s="426"/>
      <c r="M46" s="426"/>
      <c r="N46" s="427"/>
      <c r="O46" s="6"/>
    </row>
    <row r="47" spans="2:19" ht="15" thickBot="1">
      <c r="B47" s="5"/>
      <c r="C47" s="97" t="s">
        <v>264</v>
      </c>
      <c r="D47" s="131"/>
      <c r="E47" s="131"/>
      <c r="F47" s="131"/>
      <c r="G47" s="131"/>
      <c r="H47" s="131"/>
      <c r="I47" s="132"/>
      <c r="J47" s="421">
        <v>645001717.52149999</v>
      </c>
      <c r="K47" s="421"/>
      <c r="L47" s="421"/>
      <c r="M47" s="421"/>
      <c r="N47" s="422"/>
      <c r="O47" s="6"/>
      <c r="Q47" s="55"/>
    </row>
    <row r="48" spans="2:19" ht="15" thickBot="1">
      <c r="B48" s="5"/>
      <c r="C48" s="133"/>
      <c r="D48" s="133"/>
      <c r="E48" s="133"/>
      <c r="F48" s="133"/>
      <c r="G48" s="133"/>
      <c r="H48" s="133"/>
      <c r="I48" s="133"/>
      <c r="J48" s="133"/>
      <c r="K48" s="133"/>
      <c r="L48" s="133"/>
      <c r="M48" s="133"/>
      <c r="N48" s="133"/>
      <c r="O48" s="6"/>
    </row>
    <row r="49" spans="2:15">
      <c r="B49" s="5"/>
      <c r="C49" s="224" t="s">
        <v>265</v>
      </c>
      <c r="D49" s="225"/>
      <c r="E49" s="225"/>
      <c r="F49" s="225"/>
      <c r="G49" s="225"/>
      <c r="H49" s="225"/>
      <c r="I49" s="225"/>
      <c r="J49" s="225"/>
      <c r="K49" s="225"/>
      <c r="L49" s="225"/>
      <c r="M49" s="225"/>
      <c r="N49" s="226"/>
      <c r="O49" s="6"/>
    </row>
    <row r="50" spans="2:15">
      <c r="B50" s="5"/>
      <c r="C50" s="134"/>
      <c r="D50" s="95"/>
      <c r="E50" s="95"/>
      <c r="F50" s="95"/>
      <c r="G50" s="95"/>
      <c r="H50" s="95"/>
      <c r="I50" s="201" t="s">
        <v>266</v>
      </c>
      <c r="J50" s="170"/>
      <c r="K50" s="202"/>
      <c r="L50" s="201" t="s">
        <v>267</v>
      </c>
      <c r="M50" s="170"/>
      <c r="N50" s="321"/>
      <c r="O50" s="6"/>
    </row>
    <row r="51" spans="2:15">
      <c r="B51" s="5"/>
      <c r="C51" s="68" t="s">
        <v>268</v>
      </c>
      <c r="D51" s="135"/>
      <c r="E51" s="135"/>
      <c r="F51" s="135"/>
      <c r="G51" s="135"/>
      <c r="H51" s="135"/>
      <c r="I51" s="289">
        <f>I61-I52-I56</f>
        <v>633490924.38400006</v>
      </c>
      <c r="J51" s="290"/>
      <c r="K51" s="291"/>
      <c r="L51" s="289">
        <f>L61-L52-L56</f>
        <v>626271290.77049994</v>
      </c>
      <c r="M51" s="290"/>
      <c r="N51" s="291"/>
      <c r="O51" s="6"/>
    </row>
    <row r="52" spans="2:15">
      <c r="B52" s="5"/>
      <c r="C52" s="47" t="s">
        <v>269</v>
      </c>
      <c r="D52" s="136"/>
      <c r="E52" s="136"/>
      <c r="F52" s="136"/>
      <c r="G52" s="136"/>
      <c r="H52" s="136"/>
      <c r="I52" s="289">
        <f>SUM(I53:J55)</f>
        <v>17864652.256000001</v>
      </c>
      <c r="J52" s="290"/>
      <c r="K52" s="420"/>
      <c r="L52" s="289">
        <f>SUM(L53:M55)</f>
        <v>18730426.751000002</v>
      </c>
      <c r="M52" s="290"/>
      <c r="N52" s="291"/>
      <c r="O52" s="6"/>
    </row>
    <row r="53" spans="2:15">
      <c r="B53" s="5"/>
      <c r="C53" s="31" t="s">
        <v>270</v>
      </c>
      <c r="D53" s="137"/>
      <c r="E53" s="137"/>
      <c r="F53" s="137"/>
      <c r="G53" s="137"/>
      <c r="H53" s="137"/>
      <c r="I53" s="416">
        <v>14475298.598999999</v>
      </c>
      <c r="J53" s="417"/>
      <c r="K53" s="138"/>
      <c r="L53" s="416">
        <v>11416461.01</v>
      </c>
      <c r="M53" s="417"/>
      <c r="N53" s="118"/>
      <c r="O53" s="6"/>
    </row>
    <row r="54" spans="2:15">
      <c r="B54" s="5"/>
      <c r="C54" s="139" t="s">
        <v>271</v>
      </c>
      <c r="D54" s="137"/>
      <c r="E54" s="137"/>
      <c r="F54" s="137"/>
      <c r="G54" s="137"/>
      <c r="H54" s="137"/>
      <c r="I54" s="416">
        <v>3389353.6570000001</v>
      </c>
      <c r="J54" s="417"/>
      <c r="K54" s="138"/>
      <c r="L54" s="416">
        <v>7313965.7410000004</v>
      </c>
      <c r="M54" s="417"/>
      <c r="N54" s="118"/>
      <c r="O54" s="6"/>
    </row>
    <row r="55" spans="2:15">
      <c r="B55" s="5"/>
      <c r="C55" s="140" t="s">
        <v>272</v>
      </c>
      <c r="D55" s="141"/>
      <c r="E55" s="141"/>
      <c r="F55" s="141"/>
      <c r="G55" s="141"/>
      <c r="H55" s="141"/>
      <c r="I55" s="418">
        <v>0</v>
      </c>
      <c r="J55" s="419"/>
      <c r="K55" s="142"/>
      <c r="L55" s="418">
        <v>0</v>
      </c>
      <c r="M55" s="419"/>
      <c r="N55" s="119"/>
      <c r="O55" s="6"/>
    </row>
    <row r="56" spans="2:15">
      <c r="B56" s="5"/>
      <c r="C56" s="143" t="s">
        <v>273</v>
      </c>
      <c r="D56" s="136"/>
      <c r="E56" s="136"/>
      <c r="F56" s="136"/>
      <c r="G56" s="136"/>
      <c r="H56" s="136"/>
      <c r="I56" s="289">
        <f>SUM(I57:J60)</f>
        <v>0</v>
      </c>
      <c r="J56" s="290"/>
      <c r="K56" s="420"/>
      <c r="L56" s="289">
        <f>SUM(L57:M60)</f>
        <v>0</v>
      </c>
      <c r="M56" s="290"/>
      <c r="N56" s="291"/>
      <c r="O56" s="6"/>
    </row>
    <row r="57" spans="2:15">
      <c r="B57" s="5"/>
      <c r="C57" s="139" t="s">
        <v>274</v>
      </c>
      <c r="D57" s="137"/>
      <c r="E57" s="137"/>
      <c r="F57" s="137"/>
      <c r="G57" s="137"/>
      <c r="H57" s="137"/>
      <c r="I57" s="416">
        <v>0</v>
      </c>
      <c r="J57" s="417"/>
      <c r="K57" s="138"/>
      <c r="L57" s="416">
        <v>0</v>
      </c>
      <c r="M57" s="417"/>
      <c r="N57" s="118"/>
      <c r="O57" s="6"/>
    </row>
    <row r="58" spans="2:15">
      <c r="B58" s="5"/>
      <c r="C58" s="139" t="s">
        <v>275</v>
      </c>
      <c r="D58" s="137"/>
      <c r="E58" s="137"/>
      <c r="F58" s="137"/>
      <c r="G58" s="137"/>
      <c r="H58" s="137"/>
      <c r="I58" s="416">
        <v>0</v>
      </c>
      <c r="J58" s="417"/>
      <c r="K58" s="138"/>
      <c r="L58" s="416">
        <v>0</v>
      </c>
      <c r="M58" s="417"/>
      <c r="N58" s="118"/>
      <c r="O58" s="6"/>
    </row>
    <row r="59" spans="2:15">
      <c r="B59" s="5"/>
      <c r="C59" s="139" t="s">
        <v>276</v>
      </c>
      <c r="D59" s="137"/>
      <c r="E59" s="137"/>
      <c r="F59" s="137"/>
      <c r="G59" s="137"/>
      <c r="H59" s="137"/>
      <c r="I59" s="416">
        <v>0</v>
      </c>
      <c r="J59" s="417"/>
      <c r="K59" s="138"/>
      <c r="L59" s="416">
        <v>0</v>
      </c>
      <c r="M59" s="417"/>
      <c r="N59" s="118"/>
      <c r="O59" s="6"/>
    </row>
    <row r="60" spans="2:15">
      <c r="B60" s="5"/>
      <c r="C60" s="140" t="s">
        <v>277</v>
      </c>
      <c r="D60" s="141"/>
      <c r="E60" s="141"/>
      <c r="F60" s="141"/>
      <c r="G60" s="141"/>
      <c r="H60" s="141"/>
      <c r="I60" s="418">
        <v>0</v>
      </c>
      <c r="J60" s="419"/>
      <c r="K60" s="142"/>
      <c r="L60" s="418">
        <v>0</v>
      </c>
      <c r="M60" s="419"/>
      <c r="N60" s="119"/>
      <c r="O60" s="6"/>
    </row>
    <row r="61" spans="2:15" ht="15" thickBot="1">
      <c r="B61" s="5"/>
      <c r="C61" s="69" t="s">
        <v>278</v>
      </c>
      <c r="D61" s="144"/>
      <c r="E61" s="144"/>
      <c r="F61" s="144"/>
      <c r="G61" s="144"/>
      <c r="H61" s="144"/>
      <c r="I61" s="412">
        <v>651355576.6400001</v>
      </c>
      <c r="J61" s="413"/>
      <c r="K61" s="414"/>
      <c r="L61" s="412">
        <f>J47</f>
        <v>645001717.52149999</v>
      </c>
      <c r="M61" s="413"/>
      <c r="N61" s="415"/>
      <c r="O61" s="6"/>
    </row>
    <row r="62" spans="2:15" ht="15" thickBot="1">
      <c r="B62" s="5"/>
      <c r="C62" s="133"/>
      <c r="D62" s="133"/>
      <c r="E62" s="133"/>
      <c r="F62" s="133"/>
      <c r="G62" s="133"/>
      <c r="H62" s="133"/>
      <c r="I62" s="133"/>
      <c r="J62" s="133"/>
      <c r="K62" s="133"/>
      <c r="L62" s="133"/>
      <c r="M62" s="133"/>
      <c r="N62" s="133"/>
      <c r="O62" s="6"/>
    </row>
    <row r="63" spans="2:15">
      <c r="B63" s="5"/>
      <c r="C63" s="224" t="s">
        <v>279</v>
      </c>
      <c r="D63" s="225"/>
      <c r="E63" s="225"/>
      <c r="F63" s="225"/>
      <c r="G63" s="225"/>
      <c r="H63" s="225"/>
      <c r="I63" s="225"/>
      <c r="J63" s="225"/>
      <c r="K63" s="225"/>
      <c r="L63" s="225"/>
      <c r="M63" s="225"/>
      <c r="N63" s="226"/>
      <c r="O63" s="6"/>
    </row>
    <row r="64" spans="2:15">
      <c r="B64" s="5"/>
      <c r="C64" s="145"/>
      <c r="D64" s="121"/>
      <c r="E64" s="121"/>
      <c r="F64" s="201" t="s">
        <v>115</v>
      </c>
      <c r="G64" s="170"/>
      <c r="H64" s="202"/>
      <c r="I64" s="201" t="s">
        <v>280</v>
      </c>
      <c r="J64" s="170"/>
      <c r="K64" s="202"/>
      <c r="L64" s="201" t="s">
        <v>281</v>
      </c>
      <c r="M64" s="170"/>
      <c r="N64" s="321"/>
      <c r="O64" s="6"/>
    </row>
    <row r="65" spans="2:15">
      <c r="B65" s="5"/>
      <c r="C65" s="68" t="s">
        <v>282</v>
      </c>
      <c r="D65" s="121"/>
      <c r="E65" s="127"/>
      <c r="F65" s="406" t="s">
        <v>283</v>
      </c>
      <c r="G65" s="395"/>
      <c r="H65" s="396"/>
      <c r="I65" s="390">
        <v>0.58599684441461231</v>
      </c>
      <c r="J65" s="391"/>
      <c r="K65" s="392"/>
      <c r="L65" s="407">
        <v>0.58381784043771545</v>
      </c>
      <c r="M65" s="408"/>
      <c r="N65" s="409"/>
      <c r="O65" s="6"/>
    </row>
    <row r="66" spans="2:15">
      <c r="B66" s="5"/>
      <c r="C66" s="68" t="s">
        <v>284</v>
      </c>
      <c r="D66" s="121"/>
      <c r="E66" s="127"/>
      <c r="F66" s="394" t="s">
        <v>285</v>
      </c>
      <c r="G66" s="395"/>
      <c r="H66" s="396"/>
      <c r="I66" s="390">
        <v>0.24880876554630516</v>
      </c>
      <c r="J66" s="391"/>
      <c r="K66" s="392"/>
      <c r="L66" s="407">
        <v>0.17677410918863032</v>
      </c>
      <c r="M66" s="410"/>
      <c r="N66" s="411"/>
      <c r="O66" s="6"/>
    </row>
    <row r="67" spans="2:15">
      <c r="B67" s="5"/>
      <c r="C67" s="68" t="s">
        <v>286</v>
      </c>
      <c r="D67" s="121"/>
      <c r="E67" s="127"/>
      <c r="F67" s="394" t="s">
        <v>287</v>
      </c>
      <c r="G67" s="395"/>
      <c r="H67" s="396"/>
      <c r="I67" s="397">
        <v>33.871132031015996</v>
      </c>
      <c r="J67" s="398"/>
      <c r="K67" s="399"/>
      <c r="L67" s="397">
        <v>36.425101181876855</v>
      </c>
      <c r="M67" s="398"/>
      <c r="N67" s="399"/>
      <c r="O67" s="6"/>
    </row>
    <row r="68" spans="2:15">
      <c r="B68" s="5"/>
      <c r="C68" s="53" t="s">
        <v>288</v>
      </c>
      <c r="D68" s="137"/>
      <c r="E68" s="137"/>
      <c r="F68" s="400" t="s">
        <v>289</v>
      </c>
      <c r="G68" s="401"/>
      <c r="H68" s="402"/>
      <c r="I68" s="403">
        <v>3.4648736645948794E-2</v>
      </c>
      <c r="J68" s="404"/>
      <c r="K68" s="405"/>
      <c r="L68" s="390">
        <v>3.4148604541589203E-2</v>
      </c>
      <c r="M68" s="391"/>
      <c r="N68" s="393"/>
      <c r="O68" s="6"/>
    </row>
    <row r="69" spans="2:15">
      <c r="B69" s="5"/>
      <c r="C69" s="68" t="s">
        <v>290</v>
      </c>
      <c r="D69" s="135"/>
      <c r="E69" s="146"/>
      <c r="F69" s="387">
        <v>0.22</v>
      </c>
      <c r="G69" s="388">
        <v>0.22</v>
      </c>
      <c r="H69" s="389">
        <v>0.22</v>
      </c>
      <c r="I69" s="390">
        <v>0.21231755917925349</v>
      </c>
      <c r="J69" s="391"/>
      <c r="K69" s="392"/>
      <c r="L69" s="390">
        <v>0.21335888361477545</v>
      </c>
      <c r="M69" s="391"/>
      <c r="N69" s="393"/>
      <c r="O69" s="6"/>
    </row>
    <row r="70" spans="2:15">
      <c r="B70" s="5"/>
      <c r="C70" s="68" t="s">
        <v>291</v>
      </c>
      <c r="D70" s="137"/>
      <c r="E70" s="137"/>
      <c r="F70" s="387">
        <v>0.27</v>
      </c>
      <c r="G70" s="388">
        <v>0.27</v>
      </c>
      <c r="H70" s="389">
        <v>0.27</v>
      </c>
      <c r="I70" s="390">
        <v>0.2561306803583368</v>
      </c>
      <c r="J70" s="391"/>
      <c r="K70" s="392"/>
      <c r="L70" s="390">
        <v>0.25722767425726983</v>
      </c>
      <c r="M70" s="391"/>
      <c r="N70" s="393"/>
      <c r="O70" s="6"/>
    </row>
    <row r="71" spans="2:15">
      <c r="B71" s="5"/>
      <c r="C71" s="68" t="s">
        <v>292</v>
      </c>
      <c r="D71" s="135"/>
      <c r="E71" s="146"/>
      <c r="F71" s="387">
        <v>0.32</v>
      </c>
      <c r="G71" s="388">
        <v>0.32</v>
      </c>
      <c r="H71" s="389">
        <v>0.32</v>
      </c>
      <c r="I71" s="390">
        <v>0.29632003485045033</v>
      </c>
      <c r="J71" s="391"/>
      <c r="K71" s="392"/>
      <c r="L71" s="390">
        <v>0.29761408079289536</v>
      </c>
      <c r="M71" s="391"/>
      <c r="N71" s="393"/>
      <c r="O71" s="6"/>
    </row>
    <row r="72" spans="2:15">
      <c r="B72" s="5"/>
      <c r="C72" s="68" t="s">
        <v>293</v>
      </c>
      <c r="D72" s="135"/>
      <c r="E72" s="146"/>
      <c r="F72" s="387">
        <v>0.36</v>
      </c>
      <c r="G72" s="388">
        <v>0.36</v>
      </c>
      <c r="H72" s="389">
        <v>0.36</v>
      </c>
      <c r="I72" s="390">
        <v>0.33388793023061752</v>
      </c>
      <c r="J72" s="391"/>
      <c r="K72" s="392"/>
      <c r="L72" s="390">
        <v>0.33501156753555039</v>
      </c>
      <c r="M72" s="391"/>
      <c r="N72" s="393"/>
      <c r="O72" s="6"/>
    </row>
    <row r="73" spans="2:15" ht="15" thickBot="1">
      <c r="B73" s="5"/>
      <c r="C73" s="69" t="s">
        <v>294</v>
      </c>
      <c r="D73" s="144"/>
      <c r="E73" s="144"/>
      <c r="F73" s="380">
        <v>0.47</v>
      </c>
      <c r="G73" s="381">
        <v>0.47</v>
      </c>
      <c r="H73" s="382">
        <v>0.47</v>
      </c>
      <c r="I73" s="383">
        <v>0.37076070541109962</v>
      </c>
      <c r="J73" s="384"/>
      <c r="K73" s="385"/>
      <c r="L73" s="383">
        <v>0.37142250434707474</v>
      </c>
      <c r="M73" s="384"/>
      <c r="N73" s="386"/>
      <c r="O73" s="6"/>
    </row>
    <row r="74" spans="2:15" ht="15" thickBot="1">
      <c r="B74" s="5"/>
      <c r="C74" s="133"/>
      <c r="D74" s="133"/>
      <c r="E74" s="133"/>
      <c r="F74" s="133"/>
      <c r="G74" s="133"/>
      <c r="H74" s="133"/>
      <c r="I74" s="133"/>
      <c r="J74" s="133"/>
      <c r="K74" s="133"/>
      <c r="L74" s="133"/>
      <c r="M74" s="133"/>
      <c r="N74" s="133"/>
      <c r="O74" s="6"/>
    </row>
    <row r="75" spans="2:15">
      <c r="B75" s="5"/>
      <c r="C75" s="224" t="s">
        <v>295</v>
      </c>
      <c r="D75" s="225"/>
      <c r="E75" s="225"/>
      <c r="F75" s="225"/>
      <c r="G75" s="194"/>
      <c r="H75" s="194"/>
      <c r="I75" s="225"/>
      <c r="J75" s="225"/>
      <c r="K75" s="225"/>
      <c r="L75" s="225"/>
      <c r="M75" s="225"/>
      <c r="N75" s="226"/>
      <c r="O75" s="6"/>
    </row>
    <row r="76" spans="2:15">
      <c r="B76" s="5"/>
      <c r="C76" s="147" t="s">
        <v>296</v>
      </c>
      <c r="D76" s="135"/>
      <c r="E76" s="135"/>
      <c r="F76" s="135"/>
      <c r="G76" s="201" t="s">
        <v>297</v>
      </c>
      <c r="H76" s="202"/>
      <c r="I76" s="201" t="s">
        <v>298</v>
      </c>
      <c r="J76" s="202"/>
      <c r="K76" s="201" t="s">
        <v>299</v>
      </c>
      <c r="L76" s="202"/>
      <c r="M76" s="170" t="s">
        <v>300</v>
      </c>
      <c r="N76" s="202"/>
      <c r="O76" s="6"/>
    </row>
    <row r="77" spans="2:15">
      <c r="B77" s="5"/>
      <c r="C77" s="148" t="s">
        <v>301</v>
      </c>
      <c r="D77" s="116"/>
      <c r="E77" s="116"/>
      <c r="F77" s="116"/>
      <c r="G77" s="344">
        <v>384458768.20000023</v>
      </c>
      <c r="H77" s="345"/>
      <c r="I77" s="361">
        <f>G77/$G$82</f>
        <v>0.59605851853748715</v>
      </c>
      <c r="J77" s="360"/>
      <c r="K77" s="344">
        <v>78</v>
      </c>
      <c r="L77" s="345"/>
      <c r="M77" s="361">
        <f>K77/$K$82</f>
        <v>0.70270270270270274</v>
      </c>
      <c r="N77" s="360"/>
      <c r="O77" s="6"/>
    </row>
    <row r="78" spans="2:15">
      <c r="B78" s="5"/>
      <c r="C78" s="148" t="s">
        <v>302</v>
      </c>
      <c r="D78" s="116"/>
      <c r="E78" s="116"/>
      <c r="F78" s="116"/>
      <c r="G78" s="344">
        <v>185098269.19550002</v>
      </c>
      <c r="H78" s="345"/>
      <c r="I78" s="361">
        <f t="shared" ref="I78:I81" si="0">G78/$G$82</f>
        <v>0.28697329660882653</v>
      </c>
      <c r="J78" s="360"/>
      <c r="K78" s="344">
        <v>14</v>
      </c>
      <c r="L78" s="345"/>
      <c r="M78" s="361">
        <f t="shared" ref="M78:M81" si="1">K78/$K$82</f>
        <v>0.12612612612612611</v>
      </c>
      <c r="N78" s="360"/>
      <c r="O78" s="6"/>
    </row>
    <row r="79" spans="2:15">
      <c r="B79" s="5"/>
      <c r="C79" s="148" t="s">
        <v>303</v>
      </c>
      <c r="D79" s="116"/>
      <c r="E79" s="116"/>
      <c r="F79" s="116"/>
      <c r="G79" s="344">
        <v>4626018.46</v>
      </c>
      <c r="H79" s="345"/>
      <c r="I79" s="361">
        <f t="shared" si="0"/>
        <v>7.1721025453638397E-3</v>
      </c>
      <c r="J79" s="360"/>
      <c r="K79" s="344">
        <v>2</v>
      </c>
      <c r="L79" s="345"/>
      <c r="M79" s="361">
        <f t="shared" si="1"/>
        <v>1.8018018018018018E-2</v>
      </c>
      <c r="N79" s="360"/>
      <c r="O79" s="6"/>
    </row>
    <row r="80" spans="2:15">
      <c r="B80" s="5"/>
      <c r="C80" s="148" t="s">
        <v>304</v>
      </c>
      <c r="D80" s="116"/>
      <c r="E80" s="116"/>
      <c r="F80" s="116"/>
      <c r="G80" s="344">
        <v>12414430.919999998</v>
      </c>
      <c r="H80" s="345"/>
      <c r="I80" s="361">
        <f t="shared" si="0"/>
        <v>1.9247128469214007E-2</v>
      </c>
      <c r="J80" s="360"/>
      <c r="K80" s="344">
        <v>3</v>
      </c>
      <c r="L80" s="345"/>
      <c r="M80" s="361">
        <f t="shared" si="1"/>
        <v>2.7027027027027029E-2</v>
      </c>
      <c r="N80" s="360"/>
      <c r="O80" s="6"/>
    </row>
    <row r="81" spans="2:15">
      <c r="B81" s="5"/>
      <c r="C81" s="148" t="s">
        <v>305</v>
      </c>
      <c r="D81" s="116"/>
      <c r="E81" s="116"/>
      <c r="F81" s="116"/>
      <c r="G81" s="366">
        <v>58404230.746000007</v>
      </c>
      <c r="H81" s="367"/>
      <c r="I81" s="361">
        <f t="shared" si="0"/>
        <v>9.0548953839108479E-2</v>
      </c>
      <c r="J81" s="360"/>
      <c r="K81" s="344">
        <v>14</v>
      </c>
      <c r="L81" s="345"/>
      <c r="M81" s="361">
        <f t="shared" si="1"/>
        <v>0.12612612612612611</v>
      </c>
      <c r="N81" s="360"/>
      <c r="O81" s="6"/>
    </row>
    <row r="82" spans="2:15">
      <c r="B82" s="5"/>
      <c r="C82" s="147" t="s">
        <v>306</v>
      </c>
      <c r="D82" s="135"/>
      <c r="E82" s="135"/>
      <c r="F82" s="135"/>
      <c r="G82" s="373">
        <f>SUM(G77:H81)</f>
        <v>645001717.52150023</v>
      </c>
      <c r="H82" s="374"/>
      <c r="I82" s="376">
        <f>SUM(I77:J81)</f>
        <v>1</v>
      </c>
      <c r="J82" s="377"/>
      <c r="K82" s="371">
        <f>SUM(K77:L81)</f>
        <v>111</v>
      </c>
      <c r="L82" s="354"/>
      <c r="M82" s="353">
        <f>SUM(M77:N81)</f>
        <v>1</v>
      </c>
      <c r="N82" s="354"/>
      <c r="O82" s="6"/>
    </row>
    <row r="83" spans="2:15">
      <c r="B83" s="5"/>
      <c r="C83" s="133"/>
      <c r="D83" s="133"/>
      <c r="E83" s="133"/>
      <c r="F83" s="133"/>
      <c r="G83" s="133"/>
      <c r="H83" s="133"/>
      <c r="I83" s="133"/>
      <c r="J83" s="133"/>
      <c r="K83" s="133"/>
      <c r="L83" s="133"/>
      <c r="M83" s="133"/>
      <c r="N83" s="133"/>
      <c r="O83" s="6"/>
    </row>
    <row r="84" spans="2:15">
      <c r="B84" s="5"/>
      <c r="C84" s="147" t="s">
        <v>307</v>
      </c>
      <c r="D84" s="135"/>
      <c r="E84" s="135"/>
      <c r="F84" s="135"/>
      <c r="G84" s="201" t="s">
        <v>297</v>
      </c>
      <c r="H84" s="202"/>
      <c r="I84" s="201" t="s">
        <v>298</v>
      </c>
      <c r="J84" s="202"/>
      <c r="K84" s="201" t="s">
        <v>299</v>
      </c>
      <c r="L84" s="202"/>
      <c r="M84" s="170" t="s">
        <v>300</v>
      </c>
      <c r="N84" s="202"/>
      <c r="O84" s="6"/>
    </row>
    <row r="85" spans="2:15">
      <c r="B85" s="5"/>
      <c r="C85" s="148" t="s">
        <v>308</v>
      </c>
      <c r="D85" s="116"/>
      <c r="E85" s="116"/>
      <c r="F85" s="116"/>
      <c r="G85" s="344">
        <v>13318123.68</v>
      </c>
      <c r="H85" s="345"/>
      <c r="I85" s="361">
        <f>G85/$G$90</f>
        <v>2.0648198784921939E-2</v>
      </c>
      <c r="J85" s="360"/>
      <c r="K85" s="344">
        <v>4</v>
      </c>
      <c r="L85" s="345"/>
      <c r="M85" s="364">
        <f>K85/$K$90</f>
        <v>3.6036036036036036E-2</v>
      </c>
      <c r="N85" s="365"/>
      <c r="O85" s="6"/>
    </row>
    <row r="86" spans="2:15">
      <c r="B86" s="5"/>
      <c r="C86" s="148" t="s">
        <v>309</v>
      </c>
      <c r="D86" s="116"/>
      <c r="E86" s="116"/>
      <c r="F86" s="116"/>
      <c r="G86" s="344">
        <v>103124529.71649998</v>
      </c>
      <c r="H86" s="345"/>
      <c r="I86" s="361">
        <f t="shared" ref="I86:I89" si="2">G86/$G$90</f>
        <v>0.15988256606938805</v>
      </c>
      <c r="J86" s="360"/>
      <c r="K86" s="344">
        <v>32</v>
      </c>
      <c r="L86" s="345"/>
      <c r="M86" s="361">
        <f t="shared" ref="M86:M89" si="3">K86/$K$90</f>
        <v>0.28828828828828829</v>
      </c>
      <c r="N86" s="360"/>
      <c r="O86" s="6"/>
    </row>
    <row r="87" spans="2:15">
      <c r="B87" s="5"/>
      <c r="C87" s="148" t="s">
        <v>310</v>
      </c>
      <c r="D87" s="116"/>
      <c r="E87" s="116"/>
      <c r="F87" s="116"/>
      <c r="G87" s="344">
        <v>164179231.755</v>
      </c>
      <c r="H87" s="345"/>
      <c r="I87" s="361">
        <f t="shared" si="2"/>
        <v>0.25454076678412468</v>
      </c>
      <c r="J87" s="360"/>
      <c r="K87" s="344">
        <v>36</v>
      </c>
      <c r="L87" s="345"/>
      <c r="M87" s="361">
        <f t="shared" si="3"/>
        <v>0.32432432432432434</v>
      </c>
      <c r="N87" s="360"/>
      <c r="O87" s="6"/>
    </row>
    <row r="88" spans="2:15">
      <c r="B88" s="5"/>
      <c r="C88" s="148" t="s">
        <v>311</v>
      </c>
      <c r="D88" s="116"/>
      <c r="E88" s="116"/>
      <c r="F88" s="116"/>
      <c r="G88" s="344">
        <v>250360228.33000028</v>
      </c>
      <c r="H88" s="345"/>
      <c r="I88" s="361">
        <f t="shared" si="2"/>
        <v>0.388154359172935</v>
      </c>
      <c r="J88" s="360"/>
      <c r="K88" s="344">
        <v>26</v>
      </c>
      <c r="L88" s="345"/>
      <c r="M88" s="361">
        <f t="shared" si="3"/>
        <v>0.23423423423423423</v>
      </c>
      <c r="N88" s="360"/>
      <c r="O88" s="6"/>
    </row>
    <row r="89" spans="2:15">
      <c r="B89" s="5"/>
      <c r="C89" s="148" t="s">
        <v>312</v>
      </c>
      <c r="D89" s="116"/>
      <c r="E89" s="116"/>
      <c r="F89" s="116"/>
      <c r="G89" s="366">
        <v>114019604.03999972</v>
      </c>
      <c r="H89" s="367"/>
      <c r="I89" s="361">
        <f t="shared" si="2"/>
        <v>0.17677410918863032</v>
      </c>
      <c r="J89" s="360"/>
      <c r="K89" s="344">
        <v>13</v>
      </c>
      <c r="L89" s="345"/>
      <c r="M89" s="350">
        <f t="shared" si="3"/>
        <v>0.11711711711711711</v>
      </c>
      <c r="N89" s="347"/>
      <c r="O89" s="6"/>
    </row>
    <row r="90" spans="2:15">
      <c r="B90" s="5"/>
      <c r="C90" s="147" t="s">
        <v>306</v>
      </c>
      <c r="D90" s="135"/>
      <c r="E90" s="135"/>
      <c r="F90" s="135"/>
      <c r="G90" s="373">
        <f>SUM(G85:H89)</f>
        <v>645001717.52149999</v>
      </c>
      <c r="H90" s="374"/>
      <c r="I90" s="353">
        <f>SUM(I85:J89)</f>
        <v>1</v>
      </c>
      <c r="J90" s="375"/>
      <c r="K90" s="351">
        <f>SUM(K85:L89)</f>
        <v>111</v>
      </c>
      <c r="L90" s="352"/>
      <c r="M90" s="376">
        <f>SUM(M85:N89)</f>
        <v>1</v>
      </c>
      <c r="N90" s="377"/>
      <c r="O90" s="6"/>
    </row>
    <row r="91" spans="2:15">
      <c r="B91" s="5"/>
      <c r="C91" s="7"/>
      <c r="D91" s="7"/>
      <c r="E91" s="7"/>
      <c r="F91" s="7"/>
      <c r="G91" s="7"/>
      <c r="H91" s="7"/>
      <c r="I91" s="7"/>
      <c r="J91" s="7"/>
      <c r="K91" s="7"/>
      <c r="L91" s="7"/>
      <c r="M91" s="7"/>
      <c r="N91" s="7"/>
      <c r="O91" s="6"/>
    </row>
    <row r="92" spans="2:15">
      <c r="B92" s="5"/>
      <c r="C92" s="147" t="s">
        <v>313</v>
      </c>
      <c r="D92" s="135"/>
      <c r="E92" s="135"/>
      <c r="F92" s="135"/>
      <c r="G92" s="201" t="s">
        <v>297</v>
      </c>
      <c r="H92" s="202"/>
      <c r="I92" s="170" t="s">
        <v>298</v>
      </c>
      <c r="J92" s="202"/>
      <c r="K92" s="201" t="s">
        <v>299</v>
      </c>
      <c r="L92" s="202"/>
      <c r="M92" s="378" t="s">
        <v>300</v>
      </c>
      <c r="N92" s="379"/>
      <c r="O92" s="6"/>
    </row>
    <row r="93" spans="2:15">
      <c r="B93" s="5"/>
      <c r="C93" s="148">
        <v>2007</v>
      </c>
      <c r="D93" s="116"/>
      <c r="E93" s="116"/>
      <c r="F93" s="116"/>
      <c r="G93" s="344">
        <v>0</v>
      </c>
      <c r="H93" s="345"/>
      <c r="I93" s="359">
        <f>G93/$G$108</f>
        <v>0</v>
      </c>
      <c r="J93" s="360"/>
      <c r="K93" s="344">
        <v>0</v>
      </c>
      <c r="L93" s="368"/>
      <c r="M93" s="372">
        <f>K93/$K$108</f>
        <v>0</v>
      </c>
      <c r="N93" s="365"/>
      <c r="O93" s="6"/>
    </row>
    <row r="94" spans="2:15">
      <c r="B94" s="5"/>
      <c r="C94" s="148">
        <v>2008</v>
      </c>
      <c r="D94" s="116"/>
      <c r="E94" s="116"/>
      <c r="F94" s="116"/>
      <c r="G94" s="344">
        <v>406449.76</v>
      </c>
      <c r="H94" s="345"/>
      <c r="I94" s="359">
        <f t="shared" ref="I94:I107" si="4">G94/$G$108</f>
        <v>6.3015298868014527E-4</v>
      </c>
      <c r="J94" s="360"/>
      <c r="K94" s="344">
        <v>1</v>
      </c>
      <c r="L94" s="368"/>
      <c r="M94" s="361">
        <f t="shared" ref="M94:M107" si="5">K94/$K$108</f>
        <v>9.0090090090090089E-3</v>
      </c>
      <c r="N94" s="360"/>
      <c r="O94" s="6"/>
    </row>
    <row r="95" spans="2:15">
      <c r="B95" s="5"/>
      <c r="C95" s="148">
        <v>2009</v>
      </c>
      <c r="D95" s="116"/>
      <c r="E95" s="116"/>
      <c r="F95" s="116"/>
      <c r="G95" s="344">
        <v>0</v>
      </c>
      <c r="H95" s="345"/>
      <c r="I95" s="359">
        <f t="shared" si="4"/>
        <v>0</v>
      </c>
      <c r="J95" s="360"/>
      <c r="K95" s="344">
        <v>0</v>
      </c>
      <c r="L95" s="368"/>
      <c r="M95" s="361">
        <f t="shared" si="5"/>
        <v>0</v>
      </c>
      <c r="N95" s="360"/>
      <c r="O95" s="6"/>
    </row>
    <row r="96" spans="2:15">
      <c r="B96" s="5"/>
      <c r="C96" s="148">
        <v>2010</v>
      </c>
      <c r="D96" s="116"/>
      <c r="E96" s="116"/>
      <c r="F96" s="116"/>
      <c r="G96" s="344">
        <v>872248.11</v>
      </c>
      <c r="H96" s="345"/>
      <c r="I96" s="359">
        <f t="shared" si="4"/>
        <v>1.3523190501751263E-3</v>
      </c>
      <c r="J96" s="360"/>
      <c r="K96" s="344">
        <v>1</v>
      </c>
      <c r="L96" s="368"/>
      <c r="M96" s="361">
        <f t="shared" si="5"/>
        <v>9.0090090090090089E-3</v>
      </c>
      <c r="N96" s="360"/>
      <c r="O96" s="6"/>
    </row>
    <row r="97" spans="2:15">
      <c r="B97" s="5"/>
      <c r="C97" s="148">
        <v>2011</v>
      </c>
      <c r="D97" s="116"/>
      <c r="E97" s="116"/>
      <c r="F97" s="116"/>
      <c r="G97" s="344">
        <v>9205116.1099999994</v>
      </c>
      <c r="H97" s="345"/>
      <c r="I97" s="359">
        <f t="shared" si="4"/>
        <v>1.4271459842575013E-2</v>
      </c>
      <c r="J97" s="360"/>
      <c r="K97" s="344">
        <v>2</v>
      </c>
      <c r="L97" s="368"/>
      <c r="M97" s="361">
        <f t="shared" si="5"/>
        <v>1.8018018018018018E-2</v>
      </c>
      <c r="N97" s="360"/>
      <c r="O97" s="6"/>
    </row>
    <row r="98" spans="2:15">
      <c r="B98" s="5"/>
      <c r="C98" s="148">
        <v>2012</v>
      </c>
      <c r="D98" s="116"/>
      <c r="E98" s="116"/>
      <c r="F98" s="116"/>
      <c r="G98" s="344">
        <v>3134890.27</v>
      </c>
      <c r="H98" s="345"/>
      <c r="I98" s="359">
        <f t="shared" si="4"/>
        <v>4.860282050172221E-3</v>
      </c>
      <c r="J98" s="360"/>
      <c r="K98" s="344">
        <v>1</v>
      </c>
      <c r="L98" s="368"/>
      <c r="M98" s="361">
        <f t="shared" si="5"/>
        <v>9.0090090090090089E-3</v>
      </c>
      <c r="N98" s="360"/>
      <c r="O98" s="6"/>
    </row>
    <row r="99" spans="2:15">
      <c r="B99" s="5"/>
      <c r="C99" s="148">
        <v>2013</v>
      </c>
      <c r="D99" s="116"/>
      <c r="E99" s="116"/>
      <c r="F99" s="116"/>
      <c r="G99" s="344">
        <v>12318418.09</v>
      </c>
      <c r="H99" s="345"/>
      <c r="I99" s="359">
        <f t="shared" si="4"/>
        <v>1.9098271764818032E-2</v>
      </c>
      <c r="J99" s="360"/>
      <c r="K99" s="344">
        <v>3</v>
      </c>
      <c r="L99" s="368"/>
      <c r="M99" s="361">
        <f t="shared" si="5"/>
        <v>2.7027027027027029E-2</v>
      </c>
      <c r="N99" s="360"/>
      <c r="O99" s="6"/>
    </row>
    <row r="100" spans="2:15">
      <c r="B100" s="5"/>
      <c r="C100" s="148">
        <v>2014</v>
      </c>
      <c r="D100" s="116"/>
      <c r="E100" s="116"/>
      <c r="F100" s="116"/>
      <c r="G100" s="344">
        <v>30799082.521000002</v>
      </c>
      <c r="H100" s="345"/>
      <c r="I100" s="359">
        <f t="shared" si="4"/>
        <v>4.7750388385552428E-2</v>
      </c>
      <c r="J100" s="360"/>
      <c r="K100" s="344">
        <v>2</v>
      </c>
      <c r="L100" s="368"/>
      <c r="M100" s="361">
        <f t="shared" si="5"/>
        <v>1.8018018018018018E-2</v>
      </c>
      <c r="N100" s="360"/>
      <c r="O100" s="6"/>
    </row>
    <row r="101" spans="2:15">
      <c r="B101" s="5"/>
      <c r="C101" s="148">
        <v>2015</v>
      </c>
      <c r="D101" s="116"/>
      <c r="E101" s="116"/>
      <c r="F101" s="116"/>
      <c r="G101" s="344">
        <v>13511737.6</v>
      </c>
      <c r="H101" s="345"/>
      <c r="I101" s="359">
        <f t="shared" si="4"/>
        <v>2.0948374605761589E-2</v>
      </c>
      <c r="J101" s="360"/>
      <c r="K101" s="344">
        <v>7</v>
      </c>
      <c r="L101" s="368"/>
      <c r="M101" s="361">
        <f t="shared" si="5"/>
        <v>6.3063063063063057E-2</v>
      </c>
      <c r="N101" s="360"/>
      <c r="O101" s="6"/>
    </row>
    <row r="102" spans="2:15">
      <c r="B102" s="5"/>
      <c r="C102" s="148">
        <v>2016</v>
      </c>
      <c r="D102" s="116"/>
      <c r="E102" s="116"/>
      <c r="F102" s="116"/>
      <c r="G102" s="344">
        <v>18358134.055499997</v>
      </c>
      <c r="H102" s="345"/>
      <c r="I102" s="359">
        <f t="shared" si="4"/>
        <v>2.8462147552169983E-2</v>
      </c>
      <c r="J102" s="360"/>
      <c r="K102" s="344">
        <v>6</v>
      </c>
      <c r="L102" s="368"/>
      <c r="M102" s="361">
        <f t="shared" si="5"/>
        <v>5.4054054054054057E-2</v>
      </c>
      <c r="N102" s="360"/>
      <c r="O102" s="6"/>
    </row>
    <row r="103" spans="2:15">
      <c r="B103" s="5"/>
      <c r="C103" s="148">
        <v>2017</v>
      </c>
      <c r="D103" s="116"/>
      <c r="E103" s="116"/>
      <c r="F103" s="116"/>
      <c r="G103" s="344">
        <v>86618634.25</v>
      </c>
      <c r="H103" s="345"/>
      <c r="I103" s="359">
        <f t="shared" si="4"/>
        <v>0.13429209860532304</v>
      </c>
      <c r="J103" s="360"/>
      <c r="K103" s="344">
        <v>10</v>
      </c>
      <c r="L103" s="368"/>
      <c r="M103" s="361">
        <f t="shared" si="5"/>
        <v>9.0090090090090086E-2</v>
      </c>
      <c r="N103" s="360"/>
      <c r="O103" s="6"/>
    </row>
    <row r="104" spans="2:15">
      <c r="B104" s="5"/>
      <c r="C104" s="148">
        <v>2018</v>
      </c>
      <c r="D104" s="116"/>
      <c r="E104" s="116"/>
      <c r="F104" s="116"/>
      <c r="G104" s="344">
        <v>77798071.079999998</v>
      </c>
      <c r="H104" s="345"/>
      <c r="I104" s="359">
        <f t="shared" si="4"/>
        <v>0.12061684328368744</v>
      </c>
      <c r="J104" s="360"/>
      <c r="K104" s="344">
        <v>14</v>
      </c>
      <c r="L104" s="368"/>
      <c r="M104" s="361">
        <f t="shared" si="5"/>
        <v>0.12612612612612611</v>
      </c>
      <c r="N104" s="360"/>
      <c r="O104" s="6"/>
    </row>
    <row r="105" spans="2:15">
      <c r="B105" s="5"/>
      <c r="C105" s="148">
        <v>2019</v>
      </c>
      <c r="D105" s="116"/>
      <c r="E105" s="116"/>
      <c r="F105" s="116"/>
      <c r="G105" s="344">
        <v>138731480.26999998</v>
      </c>
      <c r="H105" s="345"/>
      <c r="I105" s="359">
        <f t="shared" si="4"/>
        <v>0.21508699357126226</v>
      </c>
      <c r="J105" s="360"/>
      <c r="K105" s="344">
        <v>30</v>
      </c>
      <c r="L105" s="368"/>
      <c r="M105" s="361">
        <f t="shared" si="5"/>
        <v>0.27027027027027029</v>
      </c>
      <c r="N105" s="360"/>
      <c r="O105" s="6"/>
    </row>
    <row r="106" spans="2:15">
      <c r="B106" s="5"/>
      <c r="C106" s="148">
        <v>2020</v>
      </c>
      <c r="D106" s="116"/>
      <c r="E106" s="116"/>
      <c r="F106" s="116"/>
      <c r="G106" s="344">
        <v>206798581.17500004</v>
      </c>
      <c r="H106" s="345"/>
      <c r="I106" s="359">
        <f t="shared" si="4"/>
        <v>0.32061710156315482</v>
      </c>
      <c r="J106" s="360"/>
      <c r="K106" s="344">
        <v>27</v>
      </c>
      <c r="L106" s="368"/>
      <c r="M106" s="361">
        <f t="shared" si="5"/>
        <v>0.24324324324324326</v>
      </c>
      <c r="N106" s="360"/>
      <c r="O106" s="6"/>
    </row>
    <row r="107" spans="2:15">
      <c r="B107" s="5"/>
      <c r="C107" s="148">
        <v>2021</v>
      </c>
      <c r="D107" s="116"/>
      <c r="E107" s="116"/>
      <c r="F107" s="116"/>
      <c r="G107" s="366">
        <v>46448874.229999997</v>
      </c>
      <c r="H107" s="367"/>
      <c r="I107" s="359">
        <f t="shared" si="4"/>
        <v>7.2013566736667964E-2</v>
      </c>
      <c r="J107" s="360"/>
      <c r="K107" s="344">
        <v>7</v>
      </c>
      <c r="L107" s="368"/>
      <c r="M107" s="350">
        <f t="shared" si="5"/>
        <v>6.3063063063063057E-2</v>
      </c>
      <c r="N107" s="347"/>
      <c r="O107" s="6"/>
    </row>
    <row r="108" spans="2:15">
      <c r="B108" s="5"/>
      <c r="C108" s="147" t="s">
        <v>306</v>
      </c>
      <c r="D108" s="135"/>
      <c r="E108" s="135"/>
      <c r="F108" s="135"/>
      <c r="G108" s="369">
        <f>SUM(G93:H107)</f>
        <v>645001717.52149999</v>
      </c>
      <c r="H108" s="370"/>
      <c r="I108" s="353">
        <f>SUM(I93:J107)</f>
        <v>1</v>
      </c>
      <c r="J108" s="354"/>
      <c r="K108" s="371">
        <f>SUM(K93:L107)</f>
        <v>111</v>
      </c>
      <c r="L108" s="354"/>
      <c r="M108" s="353">
        <f>SUM(M93:N107)</f>
        <v>1</v>
      </c>
      <c r="N108" s="354"/>
      <c r="O108" s="6"/>
    </row>
    <row r="109" spans="2:15">
      <c r="B109" s="5"/>
      <c r="C109" s="7"/>
      <c r="D109" s="7"/>
      <c r="E109" s="7"/>
      <c r="F109" s="7"/>
      <c r="G109" s="7"/>
      <c r="H109" s="7"/>
      <c r="I109" s="7"/>
      <c r="J109" s="7"/>
      <c r="K109" s="7"/>
      <c r="L109" s="7"/>
      <c r="M109" s="7"/>
      <c r="N109" s="7"/>
      <c r="O109" s="6"/>
    </row>
    <row r="110" spans="2:15">
      <c r="B110" s="5"/>
      <c r="C110" s="147" t="s">
        <v>314</v>
      </c>
      <c r="D110" s="135"/>
      <c r="E110" s="135"/>
      <c r="F110" s="135"/>
      <c r="G110" s="201" t="s">
        <v>297</v>
      </c>
      <c r="H110" s="202"/>
      <c r="I110" s="201" t="s">
        <v>298</v>
      </c>
      <c r="J110" s="202"/>
      <c r="K110" s="201" t="s">
        <v>299</v>
      </c>
      <c r="L110" s="202"/>
      <c r="M110" s="170" t="s">
        <v>300</v>
      </c>
      <c r="N110" s="202"/>
      <c r="O110" s="6"/>
    </row>
    <row r="111" spans="2:15">
      <c r="B111" s="5"/>
      <c r="C111" s="148" t="s">
        <v>315</v>
      </c>
      <c r="D111" s="116"/>
      <c r="E111" s="116"/>
      <c r="F111" s="116"/>
      <c r="G111" s="362">
        <v>0</v>
      </c>
      <c r="H111" s="363"/>
      <c r="I111" s="359">
        <f>G111/$G$117</f>
        <v>0</v>
      </c>
      <c r="J111" s="360"/>
      <c r="K111" s="348">
        <v>0</v>
      </c>
      <c r="L111" s="349"/>
      <c r="M111" s="364">
        <f>K111/$K$117</f>
        <v>0</v>
      </c>
      <c r="N111" s="365"/>
      <c r="O111" s="6"/>
    </row>
    <row r="112" spans="2:15">
      <c r="B112" s="5"/>
      <c r="C112" s="148" t="s">
        <v>316</v>
      </c>
      <c r="D112" s="116"/>
      <c r="E112" s="116"/>
      <c r="F112" s="116"/>
      <c r="G112" s="344">
        <v>6320844.9500000002</v>
      </c>
      <c r="H112" s="345"/>
      <c r="I112" s="359">
        <f t="shared" ref="I112:I116" si="6">G112/$G$117</f>
        <v>9.7997335174371935E-3</v>
      </c>
      <c r="J112" s="360"/>
      <c r="K112" s="348">
        <v>2</v>
      </c>
      <c r="L112" s="349"/>
      <c r="M112" s="361">
        <f t="shared" ref="M112:M116" si="7">K112/$K$117</f>
        <v>1.8018018018018018E-2</v>
      </c>
      <c r="N112" s="360"/>
      <c r="O112" s="6"/>
    </row>
    <row r="113" spans="2:15">
      <c r="B113" s="5"/>
      <c r="C113" s="148" t="s">
        <v>317</v>
      </c>
      <c r="D113" s="116"/>
      <c r="E113" s="116"/>
      <c r="F113" s="116"/>
      <c r="G113" s="344">
        <v>226148791.36500004</v>
      </c>
      <c r="H113" s="345"/>
      <c r="I113" s="359">
        <f t="shared" si="6"/>
        <v>0.35061734755374785</v>
      </c>
      <c r="J113" s="360"/>
      <c r="K113" s="348">
        <v>25</v>
      </c>
      <c r="L113" s="349"/>
      <c r="M113" s="361">
        <f t="shared" si="7"/>
        <v>0.22522522522522523</v>
      </c>
      <c r="N113" s="360"/>
      <c r="O113" s="6"/>
    </row>
    <row r="114" spans="2:15">
      <c r="B114" s="5"/>
      <c r="C114" s="148" t="s">
        <v>318</v>
      </c>
      <c r="D114" s="116"/>
      <c r="E114" s="116"/>
      <c r="F114" s="116"/>
      <c r="G114" s="344">
        <v>308029503.50100005</v>
      </c>
      <c r="H114" s="345"/>
      <c r="I114" s="359">
        <f t="shared" si="6"/>
        <v>0.47756385003848062</v>
      </c>
      <c r="J114" s="360"/>
      <c r="K114" s="348">
        <v>61</v>
      </c>
      <c r="L114" s="349"/>
      <c r="M114" s="361">
        <f t="shared" si="7"/>
        <v>0.5495495495495496</v>
      </c>
      <c r="N114" s="360"/>
      <c r="O114" s="6"/>
    </row>
    <row r="115" spans="2:15">
      <c r="B115" s="5"/>
      <c r="C115" s="148" t="s">
        <v>319</v>
      </c>
      <c r="D115" s="116"/>
      <c r="E115" s="116"/>
      <c r="F115" s="116"/>
      <c r="G115" s="344">
        <v>101106480.18549991</v>
      </c>
      <c r="H115" s="345"/>
      <c r="I115" s="359">
        <f t="shared" si="6"/>
        <v>0.15675381543790959</v>
      </c>
      <c r="J115" s="360"/>
      <c r="K115" s="348">
        <v>22</v>
      </c>
      <c r="L115" s="349"/>
      <c r="M115" s="361">
        <f t="shared" si="7"/>
        <v>0.1981981981981982</v>
      </c>
      <c r="N115" s="360"/>
      <c r="O115" s="6"/>
    </row>
    <row r="116" spans="2:15">
      <c r="B116" s="5"/>
      <c r="C116" s="148" t="s">
        <v>320</v>
      </c>
      <c r="D116" s="116"/>
      <c r="E116" s="116"/>
      <c r="F116" s="116"/>
      <c r="G116" s="344">
        <v>3396097.5199999809</v>
      </c>
      <c r="H116" s="345"/>
      <c r="I116" s="346">
        <f t="shared" si="6"/>
        <v>5.2652534524247653E-3</v>
      </c>
      <c r="J116" s="347"/>
      <c r="K116" s="348">
        <v>1</v>
      </c>
      <c r="L116" s="349"/>
      <c r="M116" s="350">
        <f t="shared" si="7"/>
        <v>9.0090090090090089E-3</v>
      </c>
      <c r="N116" s="347"/>
      <c r="O116" s="6"/>
    </row>
    <row r="117" spans="2:15">
      <c r="B117" s="5"/>
      <c r="C117" s="147" t="s">
        <v>306</v>
      </c>
      <c r="D117" s="135"/>
      <c r="E117" s="135"/>
      <c r="F117" s="135"/>
      <c r="G117" s="351">
        <f>SUM(G111:H116)</f>
        <v>645001717.52149999</v>
      </c>
      <c r="H117" s="352"/>
      <c r="I117" s="353">
        <f>SUM(I111:J116)</f>
        <v>1</v>
      </c>
      <c r="J117" s="354"/>
      <c r="K117" s="355">
        <f>SUM(K111:L116)</f>
        <v>111</v>
      </c>
      <c r="L117" s="356"/>
      <c r="M117" s="357">
        <f>SUM(M111:N116)</f>
        <v>1</v>
      </c>
      <c r="N117" s="358"/>
      <c r="O117" s="6"/>
    </row>
    <row r="118" spans="2:15" ht="15" thickBot="1">
      <c r="B118" s="109"/>
      <c r="C118" s="110"/>
      <c r="D118" s="110"/>
      <c r="E118" s="110"/>
      <c r="F118" s="110"/>
      <c r="G118" s="110"/>
      <c r="H118" s="110"/>
      <c r="I118" s="110"/>
      <c r="J118" s="110"/>
      <c r="K118" s="110"/>
      <c r="L118" s="110"/>
      <c r="M118" s="110"/>
      <c r="N118" s="110"/>
      <c r="O118" s="58"/>
    </row>
  </sheetData>
  <mergeCells count="257">
    <mergeCell ref="J12:N12"/>
    <mergeCell ref="C13:E14"/>
    <mergeCell ref="J13:N13"/>
    <mergeCell ref="J14:N14"/>
    <mergeCell ref="J15:N15"/>
    <mergeCell ref="J16:N16"/>
    <mergeCell ref="C3:N4"/>
    <mergeCell ref="C6:N6"/>
    <mergeCell ref="J8:N8"/>
    <mergeCell ref="J9:N9"/>
    <mergeCell ref="C10:E11"/>
    <mergeCell ref="J10:N10"/>
    <mergeCell ref="J11:N11"/>
    <mergeCell ref="C23:N23"/>
    <mergeCell ref="J24:N24"/>
    <mergeCell ref="C25:N25"/>
    <mergeCell ref="J26:N26"/>
    <mergeCell ref="J27:M27"/>
    <mergeCell ref="J28:M28"/>
    <mergeCell ref="C17:E18"/>
    <mergeCell ref="J17:N17"/>
    <mergeCell ref="J18:N18"/>
    <mergeCell ref="J19:N19"/>
    <mergeCell ref="J20:N20"/>
    <mergeCell ref="C22:N22"/>
    <mergeCell ref="C35:N35"/>
    <mergeCell ref="J36:N36"/>
    <mergeCell ref="J37:M37"/>
    <mergeCell ref="J38:M38"/>
    <mergeCell ref="J39:M39"/>
    <mergeCell ref="J40:N40"/>
    <mergeCell ref="J29:N29"/>
    <mergeCell ref="C30:N30"/>
    <mergeCell ref="J31:N31"/>
    <mergeCell ref="J32:M32"/>
    <mergeCell ref="J33:M33"/>
    <mergeCell ref="J34:M34"/>
    <mergeCell ref="J47:N47"/>
    <mergeCell ref="C49:N49"/>
    <mergeCell ref="I50:K50"/>
    <mergeCell ref="L50:N50"/>
    <mergeCell ref="I51:K51"/>
    <mergeCell ref="L51:N51"/>
    <mergeCell ref="J41:N41"/>
    <mergeCell ref="J42:N42"/>
    <mergeCell ref="J43:N43"/>
    <mergeCell ref="J44:M44"/>
    <mergeCell ref="J45:M45"/>
    <mergeCell ref="C46:N46"/>
    <mergeCell ref="I55:J55"/>
    <mergeCell ref="L55:M55"/>
    <mergeCell ref="I56:K56"/>
    <mergeCell ref="L56:N56"/>
    <mergeCell ref="I57:J57"/>
    <mergeCell ref="L57:M57"/>
    <mergeCell ref="I52:K52"/>
    <mergeCell ref="L52:N52"/>
    <mergeCell ref="I53:J53"/>
    <mergeCell ref="L53:M53"/>
    <mergeCell ref="I54:J54"/>
    <mergeCell ref="L54:M54"/>
    <mergeCell ref="I61:K61"/>
    <mergeCell ref="L61:N61"/>
    <mergeCell ref="C63:N63"/>
    <mergeCell ref="F64:H64"/>
    <mergeCell ref="I64:K64"/>
    <mergeCell ref="L64:N64"/>
    <mergeCell ref="I58:J58"/>
    <mergeCell ref="L58:M58"/>
    <mergeCell ref="I59:J59"/>
    <mergeCell ref="L59:M59"/>
    <mergeCell ref="I60:J60"/>
    <mergeCell ref="L60:M60"/>
    <mergeCell ref="F67:H67"/>
    <mergeCell ref="I67:K67"/>
    <mergeCell ref="L67:N67"/>
    <mergeCell ref="F68:H68"/>
    <mergeCell ref="I68:K68"/>
    <mergeCell ref="L68:N68"/>
    <mergeCell ref="F65:H65"/>
    <mergeCell ref="I65:K65"/>
    <mergeCell ref="L65:N65"/>
    <mergeCell ref="F66:H66"/>
    <mergeCell ref="I66:K66"/>
    <mergeCell ref="L66:N66"/>
    <mergeCell ref="F71:H71"/>
    <mergeCell ref="I71:K71"/>
    <mergeCell ref="L71:N71"/>
    <mergeCell ref="F72:H72"/>
    <mergeCell ref="I72:K72"/>
    <mergeCell ref="L72:N72"/>
    <mergeCell ref="F69:H69"/>
    <mergeCell ref="I69:K69"/>
    <mergeCell ref="L69:N69"/>
    <mergeCell ref="F70:H70"/>
    <mergeCell ref="I70:K70"/>
    <mergeCell ref="L70:N70"/>
    <mergeCell ref="G77:H77"/>
    <mergeCell ref="I77:J77"/>
    <mergeCell ref="K77:L77"/>
    <mergeCell ref="M77:N77"/>
    <mergeCell ref="G78:H78"/>
    <mergeCell ref="I78:J78"/>
    <mergeCell ref="K78:L78"/>
    <mergeCell ref="M78:N78"/>
    <mergeCell ref="F73:H73"/>
    <mergeCell ref="I73:K73"/>
    <mergeCell ref="L73:N73"/>
    <mergeCell ref="C75:N75"/>
    <mergeCell ref="G76:H76"/>
    <mergeCell ref="I76:J76"/>
    <mergeCell ref="K76:L76"/>
    <mergeCell ref="M76:N76"/>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G86:H86"/>
    <mergeCell ref="I86:J86"/>
    <mergeCell ref="K86:L86"/>
    <mergeCell ref="M86:N86"/>
    <mergeCell ref="G87:H87"/>
    <mergeCell ref="I87:J87"/>
    <mergeCell ref="K87:L87"/>
    <mergeCell ref="M87:N87"/>
    <mergeCell ref="G84:H84"/>
    <mergeCell ref="I84:J84"/>
    <mergeCell ref="K84:L84"/>
    <mergeCell ref="M84:N84"/>
    <mergeCell ref="G85:H85"/>
    <mergeCell ref="I85:J85"/>
    <mergeCell ref="K85:L85"/>
    <mergeCell ref="M85:N85"/>
    <mergeCell ref="G90:H90"/>
    <mergeCell ref="I90:J90"/>
    <mergeCell ref="K90:L90"/>
    <mergeCell ref="M90:N90"/>
    <mergeCell ref="G92:H92"/>
    <mergeCell ref="I92:J92"/>
    <mergeCell ref="K92:L92"/>
    <mergeCell ref="M92:N92"/>
    <mergeCell ref="G88:H88"/>
    <mergeCell ref="I88:J88"/>
    <mergeCell ref="K88:L88"/>
    <mergeCell ref="M88:N88"/>
    <mergeCell ref="G89:H89"/>
    <mergeCell ref="I89:J89"/>
    <mergeCell ref="K89:L89"/>
    <mergeCell ref="M89:N89"/>
    <mergeCell ref="G95:H95"/>
    <mergeCell ref="I95:J95"/>
    <mergeCell ref="K95:L95"/>
    <mergeCell ref="M95:N95"/>
    <mergeCell ref="G96:H96"/>
    <mergeCell ref="I96:J96"/>
    <mergeCell ref="K96:L96"/>
    <mergeCell ref="M96:N96"/>
    <mergeCell ref="G93:H93"/>
    <mergeCell ref="I93:J93"/>
    <mergeCell ref="K93:L93"/>
    <mergeCell ref="M93:N93"/>
    <mergeCell ref="G94:H94"/>
    <mergeCell ref="I94:J94"/>
    <mergeCell ref="K94:L94"/>
    <mergeCell ref="M94:N94"/>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12:H112"/>
    <mergeCell ref="I112:J112"/>
    <mergeCell ref="K112:L112"/>
    <mergeCell ref="M112:N112"/>
    <mergeCell ref="G113:H113"/>
    <mergeCell ref="I113:J113"/>
    <mergeCell ref="K113:L113"/>
    <mergeCell ref="M113:N113"/>
    <mergeCell ref="G110:H110"/>
    <mergeCell ref="I110:J110"/>
    <mergeCell ref="K110:L110"/>
    <mergeCell ref="M110:N110"/>
    <mergeCell ref="G111:H111"/>
    <mergeCell ref="I111:J111"/>
    <mergeCell ref="K111:L111"/>
    <mergeCell ref="M111:N111"/>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s>
  <pageMargins left="0.7" right="0.7" top="0.75" bottom="0.75" header="0.3" footer="0.3"/>
  <pageSetup paperSize="9" scale="60" fitToHeight="0" orientation="portrait" r:id="rId1"/>
  <rowBreaks count="2" manualBreakCount="2">
    <brk id="1" max="16383" man="1"/>
    <brk id="84" min="1" max="14" man="1"/>
  </rowBreaks>
  <colBreaks count="2" manualBreakCount="2">
    <brk id="1" max="1048575" man="1"/>
    <brk id="10" min="1" max="117"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3" ma:contentTypeDescription="Create a new document." ma:contentTypeScope="" ma:versionID="588d5aa88e7a537abe003b96e7501026">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4c3b2962ed315e41f6810f9cc8d3d340"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8F338E-91BC-453E-97F1-D13D5356B82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97AC48D-EBC3-4E2E-9CE5-BAA9687B8E70}">
  <ds:schemaRefs>
    <ds:schemaRef ds:uri="http://schemas.microsoft.com/sharepoint/v3/contenttype/forms"/>
  </ds:schemaRefs>
</ds:datastoreItem>
</file>

<file path=customXml/itemProps3.xml><?xml version="1.0" encoding="utf-8"?>
<ds:datastoreItem xmlns:ds="http://schemas.openxmlformats.org/officeDocument/2006/customXml" ds:itemID="{B1D96637-1DDF-4937-8F4F-6D8428CA9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Admin Report</vt:lpstr>
      <vt:lpstr>Servicer Report</vt:lpstr>
      <vt:lpstr>'Admin Report'!Print_Area</vt:lpstr>
      <vt:lpstr>'Servicer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cp:lastPrinted>2021-11-22T17:47:55Z</cp:lastPrinted>
  <dcterms:created xsi:type="dcterms:W3CDTF">2021-11-15T11:14:17Z</dcterms:created>
  <dcterms:modified xsi:type="dcterms:W3CDTF">2021-12-08T20:01:18Z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ies>
</file>