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tuhfltd.sharepoint.com/sites/Finance2/Shared Documents/Finance Reports/Reports for 2026/Urban Ubomi 1/Investor Reports/3. November 2025/Workings/"/>
    </mc:Choice>
  </mc:AlternateContent>
  <xr:revisionPtr revIDLastSave="0" documentId="8_{30EA634B-25CB-4025-9D47-24B92EA0E9B1}" xr6:coauthVersionLast="47" xr6:coauthVersionMax="47" xr10:uidLastSave="{00000000-0000-0000-0000-000000000000}"/>
  <bookViews>
    <workbookView xWindow="-28920" yWindow="-120" windowWidth="29040" windowHeight="15720" activeTab="1" xr2:uid="{D9D5C5CE-89BA-4C51-B742-ED7D87CA3B3F}"/>
  </bookViews>
  <sheets>
    <sheet name="Admin Report" sheetId="1" r:id="rId1"/>
    <sheet name="Servicer Report" sheetId="2" r:id="rId2"/>
  </sheet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Recon2" hidden="1">#REF!</definedName>
    <definedName name="wrn.Report1." hidden="1">{#N/A,#N/A,FALSE,"Glossary"}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7" i="2" l="1"/>
  <c r="K95" i="2"/>
  <c r="L61" i="2"/>
  <c r="L57" i="2"/>
  <c r="I57" i="2"/>
  <c r="L66" i="2"/>
  <c r="L56" i="2" s="1"/>
  <c r="J38" i="2"/>
  <c r="J33" i="2"/>
  <c r="T90" i="1"/>
  <c r="T88" i="1"/>
  <c r="J26" i="2"/>
  <c r="J12" i="2"/>
  <c r="J11" i="2"/>
  <c r="Q219" i="1"/>
  <c r="Q211" i="1"/>
  <c r="U209" i="1"/>
  <c r="L209" i="1"/>
  <c r="P207" i="1"/>
  <c r="Q204" i="1"/>
  <c r="Q201" i="1"/>
  <c r="Q195" i="1"/>
  <c r="T186" i="1"/>
  <c r="T185" i="1"/>
  <c r="T184" i="1"/>
  <c r="T183" i="1"/>
  <c r="T180" i="1"/>
  <c r="T179" i="1"/>
  <c r="T178" i="1"/>
  <c r="T177" i="1"/>
  <c r="T176" i="1" s="1"/>
  <c r="L176" i="1"/>
  <c r="T175" i="1"/>
  <c r="T174" i="1"/>
  <c r="T173" i="1"/>
  <c r="T172" i="1"/>
  <c r="T171" i="1"/>
  <c r="L171" i="1"/>
  <c r="T170" i="1"/>
  <c r="L169" i="1"/>
  <c r="T169" i="1" s="1"/>
  <c r="T168" i="1"/>
  <c r="T167" i="1"/>
  <c r="T166" i="1"/>
  <c r="L166" i="1"/>
  <c r="L164" i="1"/>
  <c r="T160" i="1"/>
  <c r="T159" i="1"/>
  <c r="T158" i="1"/>
  <c r="L155" i="1"/>
  <c r="T155" i="1" s="1"/>
  <c r="T151" i="1"/>
  <c r="T150" i="1"/>
  <c r="T149" i="1"/>
  <c r="T148" i="1"/>
  <c r="T147" i="1"/>
  <c r="L146" i="1"/>
  <c r="T145" i="1"/>
  <c r="T144" i="1"/>
  <c r="T143" i="1" s="1"/>
  <c r="T142" i="1"/>
  <c r="T139" i="1"/>
  <c r="AW96" i="1"/>
  <c r="T87" i="1"/>
  <c r="T86" i="1"/>
  <c r="T83" i="1" s="1"/>
  <c r="T79" i="1"/>
  <c r="U78" i="1"/>
  <c r="T76" i="1"/>
  <c r="U72" i="1"/>
  <c r="U69" i="1"/>
  <c r="T63" i="1"/>
  <c r="T60" i="1"/>
  <c r="P49" i="1"/>
  <c r="N47" i="1"/>
  <c r="L47" i="1"/>
  <c r="K47" i="1"/>
  <c r="L46" i="1"/>
  <c r="M46" i="1" s="1"/>
  <c r="J46" i="1"/>
  <c r="H46" i="1"/>
  <c r="I46" i="1" s="1"/>
  <c r="T40" i="1"/>
  <c r="S40" i="1"/>
  <c r="Q40" i="1"/>
  <c r="N37" i="1"/>
  <c r="N38" i="1" s="1"/>
  <c r="U40" i="1"/>
  <c r="P33" i="1"/>
  <c r="R32" i="1"/>
  <c r="V30" i="1"/>
  <c r="P30" i="1"/>
  <c r="P36" i="1" s="1"/>
  <c r="L30" i="1"/>
  <c r="W29" i="1"/>
  <c r="W30" i="1" s="1"/>
  <c r="V29" i="1"/>
  <c r="U29" i="1"/>
  <c r="U30" i="1" s="1"/>
  <c r="U36" i="1" s="1"/>
  <c r="T29" i="1"/>
  <c r="T30" i="1" s="1"/>
  <c r="T36" i="1" s="1"/>
  <c r="S29" i="1"/>
  <c r="S30" i="1" s="1"/>
  <c r="S36" i="1" s="1"/>
  <c r="R29" i="1"/>
  <c r="R30" i="1" s="1"/>
  <c r="Q29" i="1"/>
  <c r="Q30" i="1" s="1"/>
  <c r="Q36" i="1" s="1"/>
  <c r="P29" i="1"/>
  <c r="O29" i="1"/>
  <c r="O30" i="1" s="1"/>
  <c r="M29" i="1"/>
  <c r="M30" i="1" s="1"/>
  <c r="L29" i="1"/>
  <c r="K29" i="1"/>
  <c r="K30" i="1" s="1"/>
  <c r="K36" i="1" s="1"/>
  <c r="J29" i="1"/>
  <c r="J30" i="1" s="1"/>
  <c r="J36" i="1" s="1"/>
  <c r="I29" i="1"/>
  <c r="I30" i="1" s="1"/>
  <c r="H29" i="1"/>
  <c r="H30" i="1" s="1"/>
  <c r="H36" i="1" s="1"/>
  <c r="G29" i="1"/>
  <c r="G30" i="1" s="1"/>
  <c r="G36" i="1" s="1"/>
  <c r="W28" i="1"/>
  <c r="T28" i="1"/>
  <c r="R28" i="1"/>
  <c r="Q28" i="1"/>
  <c r="P28" i="1"/>
  <c r="M28" i="1"/>
  <c r="N28" i="1" s="1"/>
  <c r="L28" i="1"/>
  <c r="K28" i="1"/>
  <c r="I28" i="1"/>
  <c r="H28" i="1"/>
  <c r="G28" i="1"/>
  <c r="K18" i="1"/>
  <c r="K16" i="1"/>
  <c r="K15" i="1"/>
  <c r="K11" i="1"/>
  <c r="K12" i="1" s="1"/>
  <c r="K10" i="1"/>
  <c r="K9" i="1"/>
  <c r="G37" i="1" l="1"/>
  <c r="G38" i="1" s="1"/>
  <c r="H37" i="1"/>
  <c r="H38" i="1" s="1"/>
  <c r="Q37" i="1"/>
  <c r="Q38" i="1" s="1"/>
  <c r="L156" i="1"/>
  <c r="T156" i="1" s="1"/>
  <c r="L153" i="1"/>
  <c r="P37" i="1"/>
  <c r="P38" i="1" s="1"/>
  <c r="J37" i="1"/>
  <c r="J38" i="1" s="1"/>
  <c r="S37" i="1"/>
  <c r="S38" i="1" s="1"/>
  <c r="K37" i="1"/>
  <c r="K38" i="1" s="1"/>
  <c r="T37" i="1"/>
  <c r="T38" i="1" s="1"/>
  <c r="U37" i="1"/>
  <c r="U38" i="1" s="1"/>
  <c r="H32" i="1"/>
  <c r="U32" i="1"/>
  <c r="N40" i="1"/>
  <c r="M34" i="1"/>
  <c r="U68" i="1"/>
  <c r="K17" i="1"/>
  <c r="S32" i="1"/>
  <c r="W32" i="1"/>
  <c r="O32" i="1"/>
  <c r="G32" i="1"/>
  <c r="I32" i="1"/>
  <c r="V32" i="1"/>
  <c r="N34" i="1"/>
  <c r="O36" i="1"/>
  <c r="L143" i="1"/>
  <c r="M94" i="2"/>
  <c r="I100" i="2"/>
  <c r="M106" i="2"/>
  <c r="M109" i="2"/>
  <c r="M121" i="2"/>
  <c r="J32" i="1"/>
  <c r="M100" i="2"/>
  <c r="M103" i="2"/>
  <c r="I110" i="2"/>
  <c r="M116" i="2"/>
  <c r="K32" i="1"/>
  <c r="M32" i="1"/>
  <c r="P34" i="1"/>
  <c r="I36" i="1"/>
  <c r="R40" i="1"/>
  <c r="R36" i="1"/>
  <c r="O46" i="1"/>
  <c r="M47" i="1"/>
  <c r="T164" i="1"/>
  <c r="I104" i="2"/>
  <c r="M110" i="2"/>
  <c r="M113" i="2"/>
  <c r="M122" i="2"/>
  <c r="J29" i="2"/>
  <c r="T106" i="1"/>
  <c r="T104" i="1"/>
  <c r="I61" i="2"/>
  <c r="I56" i="2" s="1"/>
  <c r="M92" i="2"/>
  <c r="I98" i="2"/>
  <c r="M104" i="2"/>
  <c r="M107" i="2"/>
  <c r="L32" i="1"/>
  <c r="L140" i="1"/>
  <c r="T141" i="1"/>
  <c r="T140" i="1" s="1"/>
  <c r="O209" i="1"/>
  <c r="Q215" i="1" s="1"/>
  <c r="K87" i="2"/>
  <c r="M82" i="2" s="1"/>
  <c r="M98" i="2"/>
  <c r="M101" i="2"/>
  <c r="I108" i="2"/>
  <c r="M114" i="2"/>
  <c r="J34" i="1"/>
  <c r="I34" i="1"/>
  <c r="L161" i="1"/>
  <c r="T161" i="1" s="1"/>
  <c r="T98" i="1"/>
  <c r="M91" i="2"/>
  <c r="N32" i="1"/>
  <c r="P32" i="1"/>
  <c r="G34" i="1"/>
  <c r="Q32" i="1"/>
  <c r="H34" i="1"/>
  <c r="V34" i="1"/>
  <c r="L36" i="1"/>
  <c r="T56" i="1"/>
  <c r="U67" i="1"/>
  <c r="Q193" i="1"/>
  <c r="T99" i="1"/>
  <c r="T58" i="1"/>
  <c r="J47" i="2"/>
  <c r="I102" i="2"/>
  <c r="M108" i="2"/>
  <c r="M111" i="2"/>
  <c r="K126" i="2"/>
  <c r="M124" i="2" s="1"/>
  <c r="T32" i="1"/>
  <c r="K34" i="1"/>
  <c r="M36" i="1"/>
  <c r="V40" i="1"/>
  <c r="V36" i="1"/>
  <c r="W34" i="1"/>
  <c r="T146" i="1"/>
  <c r="Q210" i="1"/>
  <c r="U210" i="1" s="1"/>
  <c r="Q214" i="1" s="1"/>
  <c r="U211" i="1"/>
  <c r="M90" i="2"/>
  <c r="M93" i="2"/>
  <c r="M102" i="2"/>
  <c r="M105" i="2"/>
  <c r="I112" i="2"/>
  <c r="R34" i="1"/>
  <c r="Q34" i="1"/>
  <c r="L34" i="1"/>
  <c r="W40" i="1"/>
  <c r="W36" i="1"/>
  <c r="I94" i="2"/>
  <c r="M99" i="2"/>
  <c r="I106" i="2"/>
  <c r="M112" i="2"/>
  <c r="M115" i="2"/>
  <c r="G95" i="2"/>
  <c r="I90" i="2" s="1"/>
  <c r="G117" i="2"/>
  <c r="I37" i="1" l="1"/>
  <c r="I38" i="1" s="1"/>
  <c r="W37" i="1"/>
  <c r="W38" i="1" s="1"/>
  <c r="M85" i="2"/>
  <c r="T34" i="1"/>
  <c r="M95" i="2"/>
  <c r="T96" i="1"/>
  <c r="T55" i="1"/>
  <c r="M123" i="2"/>
  <c r="M86" i="2"/>
  <c r="U34" i="1"/>
  <c r="M83" i="2"/>
  <c r="M37" i="1"/>
  <c r="M38" i="1"/>
  <c r="M120" i="2"/>
  <c r="M126" i="2" s="1"/>
  <c r="L37" i="1"/>
  <c r="L38" i="1" s="1"/>
  <c r="L182" i="1"/>
  <c r="O34" i="1"/>
  <c r="L152" i="1"/>
  <c r="T153" i="1"/>
  <c r="O38" i="1"/>
  <c r="O37" i="1"/>
  <c r="L157" i="1"/>
  <c r="T157" i="1" s="1"/>
  <c r="I109" i="2"/>
  <c r="I115" i="2"/>
  <c r="I99" i="2"/>
  <c r="I117" i="2" s="1"/>
  <c r="I105" i="2"/>
  <c r="I111" i="2"/>
  <c r="I101" i="2"/>
  <c r="I107" i="2"/>
  <c r="I113" i="2"/>
  <c r="I103" i="2"/>
  <c r="M84" i="2"/>
  <c r="M87" i="2" s="1"/>
  <c r="S34" i="1"/>
  <c r="M117" i="2"/>
  <c r="I116" i="2"/>
  <c r="I93" i="2"/>
  <c r="I91" i="2"/>
  <c r="I95" i="2" s="1"/>
  <c r="T77" i="1"/>
  <c r="J45" i="2"/>
  <c r="T103" i="1"/>
  <c r="T102" i="1" s="1"/>
  <c r="N46" i="1"/>
  <c r="Q46" i="1" s="1"/>
  <c r="O47" i="1"/>
  <c r="M125" i="2"/>
  <c r="V37" i="1"/>
  <c r="V38" i="1" s="1"/>
  <c r="I114" i="2"/>
  <c r="I92" i="2"/>
  <c r="R37" i="1"/>
  <c r="R38" i="1" s="1"/>
  <c r="L154" i="1"/>
  <c r="T154" i="1" s="1"/>
  <c r="T111" i="1" l="1"/>
  <c r="L165" i="1"/>
  <c r="U75" i="1"/>
  <c r="T66" i="1" s="1"/>
  <c r="T97" i="1" s="1"/>
  <c r="T95" i="1" s="1"/>
  <c r="T182" i="1"/>
  <c r="L181" i="1"/>
  <c r="R46" i="1"/>
  <c r="Q47" i="1"/>
  <c r="T152" i="1"/>
  <c r="P139" i="1" l="1"/>
  <c r="T181" i="1"/>
  <c r="Q217" i="1"/>
  <c r="Q218" i="1" s="1"/>
  <c r="Q221" i="1" s="1"/>
  <c r="R47" i="1"/>
  <c r="S46" i="1"/>
  <c r="M39" i="1"/>
  <c r="M40" i="1" s="1"/>
  <c r="L39" i="1"/>
  <c r="L40" i="1" s="1"/>
  <c r="K39" i="1"/>
  <c r="K40" i="1" s="1"/>
  <c r="T165" i="1"/>
  <c r="O39" i="1"/>
  <c r="L163" i="1"/>
  <c r="S47" i="1" l="1"/>
  <c r="T46" i="1"/>
  <c r="P140" i="1"/>
  <c r="P187" i="1"/>
  <c r="T163" i="1"/>
  <c r="T162" i="1" s="1"/>
  <c r="L162" i="1"/>
  <c r="O40" i="1"/>
  <c r="S41" i="1" s="1"/>
  <c r="M41" i="1"/>
  <c r="L187" i="1" l="1"/>
  <c r="R41" i="1"/>
  <c r="U41" i="1"/>
  <c r="O41" i="1"/>
  <c r="O43" i="1"/>
  <c r="K41" i="1"/>
  <c r="L41" i="1"/>
  <c r="W41" i="1"/>
  <c r="Q41" i="1"/>
  <c r="T187" i="1"/>
  <c r="K19" i="1"/>
  <c r="P143" i="1"/>
  <c r="P141" i="1"/>
  <c r="P142" i="1"/>
  <c r="G126" i="2"/>
  <c r="N41" i="1"/>
  <c r="V41" i="1"/>
  <c r="T41" i="1"/>
  <c r="T47" i="1"/>
  <c r="U46" i="1"/>
  <c r="P145" i="1" l="1"/>
  <c r="P144" i="1"/>
  <c r="P146" i="1"/>
  <c r="T43" i="1"/>
  <c r="L43" i="1"/>
  <c r="U43" i="1"/>
  <c r="Q43" i="1"/>
  <c r="I121" i="2"/>
  <c r="I122" i="2"/>
  <c r="I120" i="2"/>
  <c r="I123" i="2"/>
  <c r="I124" i="2"/>
  <c r="K43" i="1"/>
  <c r="I125" i="2"/>
  <c r="N43" i="1"/>
  <c r="M43" i="1"/>
  <c r="W43" i="1"/>
  <c r="V43" i="1"/>
  <c r="V46" i="1"/>
  <c r="U47" i="1"/>
  <c r="R43" i="1"/>
  <c r="S43" i="1"/>
  <c r="I126" i="2" l="1"/>
  <c r="P149" i="1"/>
  <c r="P148" i="1"/>
  <c r="P147" i="1"/>
  <c r="P150" i="1"/>
  <c r="P151" i="1" s="1"/>
  <c r="P152" i="1" s="1"/>
  <c r="V47" i="1"/>
  <c r="W46" i="1"/>
  <c r="W47" i="1" s="1"/>
  <c r="P155" i="1" l="1"/>
  <c r="P154" i="1"/>
  <c r="P153" i="1"/>
  <c r="P156" i="1"/>
  <c r="P157" i="1" s="1"/>
  <c r="P158" i="1" l="1"/>
  <c r="P159" i="1" s="1"/>
  <c r="P161" i="1"/>
  <c r="P162" i="1" s="1"/>
  <c r="P160" i="1" l="1"/>
  <c r="T112" i="1"/>
  <c r="T113" i="1" s="1"/>
  <c r="P169" i="1"/>
  <c r="P170" i="1" s="1"/>
  <c r="P171" i="1" s="1"/>
  <c r="P168" i="1"/>
  <c r="P166" i="1"/>
  <c r="P164" i="1"/>
  <c r="P165" i="1"/>
  <c r="P167" i="1"/>
  <c r="P163" i="1"/>
  <c r="P172" i="1" l="1"/>
  <c r="P174" i="1"/>
  <c r="P175" i="1" s="1"/>
  <c r="P176" i="1" s="1"/>
  <c r="P173" i="1"/>
  <c r="P178" i="1" l="1"/>
  <c r="P179" i="1" s="1"/>
  <c r="P180" i="1" s="1"/>
  <c r="P181" i="1" s="1"/>
  <c r="P177" i="1"/>
  <c r="P185" i="1" l="1"/>
  <c r="P186" i="1" s="1"/>
  <c r="P182" i="1"/>
  <c r="P183" i="1" s="1"/>
  <c r="P184" i="1"/>
  <c r="G87" i="2" l="1"/>
  <c r="I84" i="2" s="1"/>
  <c r="I83" i="2" l="1"/>
  <c r="I86" i="2"/>
  <c r="I85" i="2"/>
  <c r="I82" i="2"/>
  <c r="I8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tc={05C9E935-FE77-4457-9A55-688551C67518}</author>
    <author>tc={D210AB0B-48A6-44CF-AB3F-117A2337FAF6}</author>
    <author>tc={D207D60D-8016-4A66-801C-ED34F0EE218C}</author>
    <author>tc={3DF8218D-095D-4B92-80CD-1C6F96C10488}</author>
    <author>tc={824CA7B1-EE09-4C8C-8E5A-5E4977A2442C}</author>
    <author>tc={4DAD7ABD-82A2-45C9-A16E-6D0593E5B729}</author>
    <author>tc={A2D22317-AEB2-45EB-B03C-8BD491F43FF0}</author>
    <author>tc={DBDDF326-8B4E-447B-990C-95ACC11AF95E}</author>
    <author>tc={C67483FC-C994-46A0-8078-824CAC92ADB9}</author>
    <author>tc={683A3331-FE95-4EA9-BD8F-DF7E0FA2B122}</author>
    <author>tc={69D76FBC-55C4-4993-8190-2CDC7761BC1C}</author>
    <author>tc={F235A57D-1456-45A2-8D35-D8F367D1288F}</author>
    <author>tc={E1E80173-600A-4791-8B00-066A7EDBEA48}</author>
    <author>tc={069252A7-A6C3-49ED-8533-D2A7BC386E18}</author>
    <author>tc={617E4F27-A27B-428D-83D5-2C2390BBBBCD}</author>
    <author>tc={EEA0D908-1B74-4413-8134-924AA9D091FF}</author>
    <author>tc={31E383E0-A64B-4C2A-9A38-A3F2CE0C0B7C}</author>
    <author>tc={880941F8-7328-4FCC-8683-7704601281D8}</author>
    <author>tc={B13C2366-ADDB-43EF-85F2-482D637E82C3}</author>
    <author>tc={A967A88F-8A27-4CFC-8BAE-67B615E6C772}</author>
    <author>tc={71D9DA6E-D492-4D50-A5A7-5804041E5E38}</author>
    <author>tc={9FA34C73-4571-4D64-B11A-48050896252F}</author>
    <author>tc={474443B7-281F-4628-AA59-3DF59B29C168}</author>
    <author>tc={A76805DB-2D9D-4AD1-9159-AFA8D1DD9541}</author>
    <author>tc={11991EB7-80C8-4A42-9368-6067180BA505}</author>
    <author>tc={F3172853-3A24-4FC1-817D-A36AA2035C5E}</author>
    <author>tc={AECCA069-2BD2-44B2-A838-14C4DDEA6519}</author>
    <author>tc={E356FE89-2E7C-4E09-A961-16B3AB3F4098}</author>
    <author>tc={DCFBC992-4F7A-4C4A-B6FA-FC528EC0DC41}</author>
    <author>tc={561844D4-FF66-458E-91DB-2F0ED90658AB}</author>
    <author>tc={181F5885-82B4-41BD-A281-66F52E6246B9}</author>
    <author>tc={B00C9BE9-C267-46FF-B353-EDA988CBDC40}</author>
    <author>tc={01BC6760-3B6C-4C9F-8C17-4BD073606063}</author>
    <author>tc={2D61EDF4-93B8-4848-8594-1890093C4882}</author>
    <author>tc={0D46CE7B-F005-493F-A127-0D785CD8DFCE}</author>
    <author>tc={38F8AA9C-B277-42D2-ADDF-4AFF157D766A}</author>
    <author>tc={0349BF4C-0D1B-4D1C-B55A-98749C93233F}</author>
    <author>tc={786E1547-CC76-43D1-ABF3-59075CFE0FD9}</author>
    <author>tc={FCB260E0-3208-4544-BD19-4FE998A6108A}</author>
    <author>tc={0D8AA129-D9D5-4743-B5B9-5ADF56261B5C}</author>
  </authors>
  <commentList>
    <comment ref="C8" authorId="0" shapeId="0" xr:uid="{05C9E935-FE77-4457-9A55-688551C67518}">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D210AB0B-48A6-44CF-AB3F-117A2337FAF6}">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D207D60D-8016-4A66-801C-ED34F0EE218C}">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7" authorId="3" shapeId="0" xr:uid="{3DF8218D-095D-4B92-80CD-1C6F96C10488}">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68" authorId="4" shapeId="0" xr:uid="{824CA7B1-EE09-4C8C-8E5A-5E4977A2442C}">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2" authorId="5" shapeId="0" xr:uid="{4DAD7ABD-82A2-45C9-A16E-6D0593E5B729}">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3" authorId="6" shapeId="0" xr:uid="{A2D22317-AEB2-45EB-B03C-8BD491F43FF0}">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102" authorId="7" shapeId="0" xr:uid="{DBDDF326-8B4E-447B-990C-95ACC11AF95E}">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3" authorId="8" shapeId="0" xr:uid="{C67483FC-C994-46A0-8078-824CAC92ADB9}">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7" authorId="9" shapeId="0" xr:uid="{683A3331-FE95-4EA9-BD8F-DF7E0FA2B122}">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18" authorId="10" shapeId="0" xr:uid="{69D76FBC-55C4-4993-8190-2CDC7761BC1C}">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4" authorId="11" shapeId="0" xr:uid="{F235A57D-1456-45A2-8D35-D8F367D1288F}">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3" authorId="12" shapeId="0" xr:uid="{E1E80173-600A-4791-8B00-066A7EDBEA48}">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5" authorId="13" shapeId="0" xr:uid="{069252A7-A6C3-49ED-8533-D2A7BC386E18}">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39" authorId="14" shapeId="0" xr:uid="{617E4F27-A27B-428D-83D5-2C2390BBBBCD}">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40" authorId="15" shapeId="0" xr:uid="{EEA0D908-1B74-4413-8134-924AA9D091FF}">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3" authorId="16" shapeId="0" xr:uid="{31E383E0-A64B-4C2A-9A38-A3F2CE0C0B7C}">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6" authorId="17" shapeId="0" xr:uid="{880941F8-7328-4FCC-8683-7704601281D8}">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50" authorId="18" shapeId="0" xr:uid="{B13C2366-ADDB-43EF-85F2-482D637E82C3}">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51" authorId="19" shapeId="0" xr:uid="{A967A88F-8A27-4CFC-8BAE-67B615E6C772}">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52" authorId="20" shapeId="0" xr:uid="{71D9DA6E-D492-4D50-A5A7-5804041E5E38}">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6" authorId="21" shapeId="0" xr:uid="{9FA34C73-4571-4D64-B11A-48050896252F}">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7" authorId="22" shapeId="0" xr:uid="{474443B7-281F-4628-AA59-3DF59B29C168}">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58" authorId="23" shapeId="0" xr:uid="{A76805DB-2D9D-4AD1-9159-AFA8D1DD9541}">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59" authorId="24" shapeId="0" xr:uid="{11991EB7-80C8-4A42-9368-6067180BA505}">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60" authorId="25" shapeId="0" xr:uid="{F3172853-3A24-4FC1-817D-A36AA2035C5E}">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61" authorId="26" shapeId="0" xr:uid="{AECCA069-2BD2-44B2-A838-14C4DDEA6519}">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62" authorId="27" shapeId="0" xr:uid="{E356FE89-2E7C-4E09-A961-16B3AB3F4098}">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 ref="C169" authorId="28" shapeId="0" xr:uid="{DCFBC992-4F7A-4C4A-B6FA-FC528EC0DC41}">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0" authorId="29" shapeId="0" xr:uid="{561844D4-FF66-458E-91DB-2F0ED90658AB}">
      <text>
        <t>[Threaded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t>
      </text>
    </comment>
    <comment ref="C171" authorId="30" shapeId="0" xr:uid="{181F5885-82B4-41BD-A281-66F52E6246B9}">
      <text>
        <t>[Threaded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
      </text>
    </comment>
    <comment ref="C174" authorId="31" shapeId="0" xr:uid="{B00C9BE9-C267-46FF-B353-EDA988CBDC40}">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5" authorId="32" shapeId="0" xr:uid="{01BC6760-3B6C-4C9F-8C17-4BD073606063}">
      <text>
        <t>[Threaded comment]
Your version of Excel allows you to read this threaded comment; however, any edits to it will get removed if the file is opened in a newer version of Excel. Learn more: https://go.microsoft.com/fwlink/?linkid=870924
Comment:
    1.19	nineteenth, if a Class C Interest Deferral Event has occurred on or prior to such Interest Payment Date, to pay interest due and payable in respect of the Class C Notes;</t>
      </text>
    </comment>
    <comment ref="C176" authorId="33" shapeId="0" xr:uid="{2D61EDF4-93B8-4848-8594-1890093C4882}">
      <text>
        <t>[Threaded comment]
Your version of Excel allows you to read this threaded comment; however, any edits to it will get removed if the file is opened in a newer version of Excel. Learn more: https://go.microsoft.com/fwlink/?linkid=870924
Comment:
    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
      </text>
    </comment>
    <comment ref="C178" authorId="34" shapeId="0" xr:uid="{0D46CE7B-F005-493F-A127-0D785CD8DFCE}">
      <text>
        <t>[Threaded comment]
Your version of Excel allows you to read this threaded comment; however, any edits to it will get removed if the file is opened in a newer version of Excel. Learn more: https://go.microsoft.com/fwlink/?linkid=870924
Comment:
    1.21	twenty-first, to pay or provide for pari passu and pro rata the Derivative Termination Amounts due and payable to any Derivative Counterparty under the Derivative Contracts where the Derivative Counterparty is in default;</t>
      </text>
    </comment>
    <comment ref="C179" authorId="35" shapeId="0" xr:uid="{38F8AA9C-B277-42D2-ADDF-4AFF157D766A}">
      <text>
        <t>[Threaded comment]
Your version of Excel allows you to read this threaded comment; however, any edits to it will get removed if the file is opened in a newer version of Excel. Learn more: https://go.microsoft.com/fwlink/?linkid=870924
Comment:
    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
      </text>
    </comment>
    <comment ref="C180" authorId="36" shapeId="0" xr:uid="{0349BF4C-0D1B-4D1C-B55A-98749C93233F}">
      <text>
        <t>[Threaded comment]
Your version of Excel allows you to read this threaded comment; however, any edits to it will get removed if the file is opened in a newer version of Excel. Learn more: https://go.microsoft.com/fwlink/?linkid=870924
Comment:
    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
      </text>
    </comment>
    <comment ref="C181" authorId="37" shapeId="0" xr:uid="{786E1547-CC76-43D1-ABF3-59075CFE0FD9}">
      <text>
        <t>[Threaded comment]
Your version of Excel allows you to read this threaded comment; however, any edits to it will get removed if the file is opened in a newer version of Excel. Learn more: https://go.microsoft.com/fwlink/?linkid=870924
Comment:
    1.24	twenty-forth, to pay amounts due and payable in respect of the Subordinated Loan;</t>
      </text>
    </comment>
    <comment ref="C185" authorId="38" shapeId="0" xr:uid="{FCB260E0-3208-4544-BD19-4FE998A6108A}">
      <text>
        <t>[Threaded comment]
Your version of Excel allows you to read this threaded comment; however, any edits to it will get removed if the file is opened in a newer version of Excel. Learn more: https://go.microsoft.com/fwlink/?linkid=870924
Comment:
    1.25	twenty-fifth, to pay or provide for the dividend due and payable to the Preference Shareholder, net of Taxes; and</t>
      </text>
    </comment>
    <comment ref="C186" authorId="39" shapeId="0" xr:uid="{0D8AA129-D9D5-4743-B5B9-5ADF56261B5C}">
      <text>
        <t>[Threaded comment]
Your version of Excel allows you to read this threaded comment; however, any edits to it will get removed if the file is opened in a newer version of Excel. Learn more: https://go.microsoft.com/fwlink/?linkid=870924
Comment:
    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
      </text>
    </comment>
  </commentList>
</comments>
</file>

<file path=xl/sharedStrings.xml><?xml version="1.0" encoding="utf-8"?>
<sst xmlns="http://schemas.openxmlformats.org/spreadsheetml/2006/main" count="497" uniqueCount="373">
  <si>
    <r>
      <t xml:space="preserve">Urban Ubomi 1 (RF) Limited
</t>
    </r>
    <r>
      <rPr>
        <sz val="10"/>
        <color theme="1"/>
        <rFont val="Calibri"/>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</si>
  <si>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</si>
  <si>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</si>
  <si>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</si>
  <si>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</si>
  <si>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</si>
  <si>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</si>
  <si>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</si>
  <si>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</si>
  <si>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</si>
  <si>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</si>
  <si>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</si>
  <si>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</si>
  <si>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</si>
  <si>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</si>
  <si>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</si>
  <si>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</si>
  <si>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TUHF Service Pty Ltd</t>
  </si>
  <si>
    <t>Note Breakdown</t>
  </si>
  <si>
    <t xml:space="preserve">Class </t>
  </si>
  <si>
    <t>Class A1</t>
  </si>
  <si>
    <t>Class A4</t>
  </si>
  <si>
    <t>Class A7</t>
  </si>
  <si>
    <t>Class A10</t>
  </si>
  <si>
    <t>Class A2</t>
  </si>
  <si>
    <t>Class A5</t>
  </si>
  <si>
    <t>Class A8</t>
  </si>
  <si>
    <t>Class A9</t>
  </si>
  <si>
    <t>Class A11</t>
  </si>
  <si>
    <t>Class A13</t>
  </si>
  <si>
    <t>Class B</t>
  </si>
  <si>
    <t>Class C</t>
  </si>
  <si>
    <t>ISIN Code</t>
  </si>
  <si>
    <t>ZAG000175001</t>
  </si>
  <si>
    <t>ZAG000183567</t>
  </si>
  <si>
    <t>ZAG000191875</t>
  </si>
  <si>
    <t>ZAG000195637</t>
  </si>
  <si>
    <t>ZAG000175019</t>
  </si>
  <si>
    <t>ZAG000183542</t>
  </si>
  <si>
    <t>ZAG000192006</t>
  </si>
  <si>
    <t>ZAG000192014</t>
  </si>
  <si>
    <t>ZAG000195645</t>
  </si>
  <si>
    <t>ZAG000204702</t>
  </si>
  <si>
    <t>ZAG000175035</t>
  </si>
  <si>
    <t>ZAG000183591</t>
  </si>
  <si>
    <t>ZAG000195652</t>
  </si>
  <si>
    <t>ZAG000175043</t>
  </si>
  <si>
    <t>ZAG000183609</t>
  </si>
  <si>
    <t>ZAG000195611</t>
  </si>
  <si>
    <t>ZAG000191909</t>
  </si>
  <si>
    <t>JSE Listing Code</t>
  </si>
  <si>
    <t>UU1A01</t>
  </si>
  <si>
    <t>UU1A04</t>
  </si>
  <si>
    <t>UU1A07</t>
  </si>
  <si>
    <t>UU1A10</t>
  </si>
  <si>
    <t>UU1A02</t>
  </si>
  <si>
    <t>UU1A05</t>
  </si>
  <si>
    <t>UU1A08</t>
  </si>
  <si>
    <t>UU1A09</t>
  </si>
  <si>
    <t>UU1A11</t>
  </si>
  <si>
    <t>UU1A13</t>
  </si>
  <si>
    <t>UU1B01</t>
  </si>
  <si>
    <t>UU1B02</t>
  </si>
  <si>
    <t>UU1B04</t>
  </si>
  <si>
    <t>UU1C01</t>
  </si>
  <si>
    <t>UU1C02</t>
  </si>
  <si>
    <t>UU1C04</t>
  </si>
  <si>
    <t>UU1C03</t>
  </si>
  <si>
    <t>Rate type</t>
  </si>
  <si>
    <t>Floating</t>
  </si>
  <si>
    <t>Fixed</t>
  </si>
  <si>
    <t xml:space="preserve">Margin for Interest Rate </t>
  </si>
  <si>
    <t>N/A</t>
  </si>
  <si>
    <t>Margin for Coupon Step-Up Rate</t>
  </si>
  <si>
    <t>Reference Rate for last IP</t>
  </si>
  <si>
    <t>Interest Rate for last IP</t>
  </si>
  <si>
    <t>Outstanding Principal Amount at Issue Date</t>
  </si>
  <si>
    <t>% of Notes at Issue Date</t>
  </si>
  <si>
    <t>%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</si>
  <si>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</si>
  <si>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</si>
  <si>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</si>
  <si>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</si>
  <si>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</si>
  <si>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</si>
  <si>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</si>
  <si>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</si>
  <si>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</si>
  <si>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</si>
  <si>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</si>
  <si>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</si>
  <si>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</si>
  <si>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</si>
  <si>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</si>
  <si>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AAA(za)(sf)</t>
  </si>
  <si>
    <t>AA+(za)(sf)</t>
  </si>
  <si>
    <t>A+(za)(sf)</t>
  </si>
  <si>
    <t>BBB(za)(sf)</t>
  </si>
  <si>
    <t>Rating on IPD</t>
  </si>
  <si>
    <t>Withdrawn (Paid in full)</t>
  </si>
  <si>
    <t>A-(za)(sf)</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</si>
  <si>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</si>
  <si>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</si>
  <si>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</si>
  <si>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</si>
  <si>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</si>
  <si>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</si>
  <si>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</si>
  <si>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</si>
  <si>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</si>
  <si>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</si>
  <si>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</si>
  <si>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</si>
  <si>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</si>
  <si>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</si>
  <si>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</si>
  <si>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</si>
  <si>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</si>
  <si>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</si>
  <si>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</si>
  <si>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</si>
  <si>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</si>
  <si>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</si>
  <si>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</si>
  <si>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Ordinary Disposals</t>
  </si>
  <si>
    <t>Substitution Disposals</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</si>
  <si>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</si>
  <si>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</si>
  <si>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</si>
  <si>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</si>
  <si>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</si>
  <si>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</si>
  <si>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</si>
  <si>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</si>
  <si>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</si>
  <si>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</si>
  <si>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proceeds of Substitution disposal</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</si>
  <si>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</si>
  <si>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</si>
  <si>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</si>
  <si>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</si>
  <si>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</si>
  <si>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</si>
  <si>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</si>
  <si>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</si>
  <si>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</si>
  <si>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Swap</t>
  </si>
  <si>
    <t>112 Hopkins Settlement (Pmt reflected in Nov)</t>
  </si>
  <si>
    <t>27 Oct substitution settlement and paid in Nov</t>
  </si>
  <si>
    <t>Potential Redemption Amount ("PRA")</t>
  </si>
  <si>
    <t>Legal fees - Not yet paid</t>
  </si>
  <si>
    <t>PRA on current DD</t>
  </si>
  <si>
    <t>Asset transfer recon collections adjustments. - To be transferred to UU1</t>
  </si>
  <si>
    <t>Principal Collections during CP</t>
  </si>
  <si>
    <t>Legal fees and Insurance - Not yet paid</t>
  </si>
  <si>
    <t xml:space="preserve">(plus) 50% of balance(s) of new NPLs in preceding Collection Period </t>
  </si>
  <si>
    <r>
      <t xml:space="preserve">(plus) Principal Deficiency amount from </t>
    </r>
    <r>
      <rPr>
        <u/>
        <sz val="11"/>
        <color theme="1"/>
        <rFont val="Calibri (Body)"/>
      </rPr>
      <t>previous</t>
    </r>
    <r>
      <rPr>
        <sz val="11"/>
        <color theme="1"/>
        <rFont val="Calibri"/>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</si>
  <si>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</si>
  <si>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</si>
  <si>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</si>
  <si>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</si>
  <si>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</si>
  <si>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</si>
  <si>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</si>
  <si>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</si>
  <si>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</si>
  <si>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</si>
  <si>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</si>
  <si>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</si>
  <si>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</si>
  <si>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</si>
  <si>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</si>
  <si>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</si>
  <si>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</si>
  <si>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</si>
  <si>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</si>
  <si>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</si>
  <si>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A3 on IPD (Y/N)</t>
  </si>
  <si>
    <t>Class A Notes Outstanding (Y/N) and</t>
  </si>
  <si>
    <t>Interest Payment Date prior to Latest Coupon Step-Up Date; or</t>
  </si>
  <si>
    <t>Is Class B and Class C ratio &lt; 2x ratio as at latest Issue Date (Y/N); or</t>
  </si>
  <si>
    <t xml:space="preserve">Outstanding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</si>
  <si>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</si>
  <si>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</si>
  <si>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</si>
  <si>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</si>
  <si>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</si>
  <si>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</si>
  <si>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</si>
  <si>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</si>
  <si>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1.1 Tax</t>
  </si>
  <si>
    <t xml:space="preserve">Amount Due / Provided </t>
  </si>
  <si>
    <t>Cash Available 
(incl. Liquidity Facility if applicable)</t>
  </si>
  <si>
    <t>Amount Paid / Provided for</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</si>
  <si>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</si>
  <si>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</si>
  <si>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</si>
  <si>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</si>
  <si>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</si>
  <si>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</si>
  <si>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</si>
  <si>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</si>
  <si>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</si>
  <si>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</si>
  <si>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</si>
  <si>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</si>
  <si>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</si>
  <si>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6.1. Class A13</t>
  </si>
  <si>
    <t>6.2. Class A2, Class A5 &amp; Class A8</t>
  </si>
  <si>
    <t>6.3. Class A9</t>
  </si>
  <si>
    <t>1.8 Class B (other than principal) if no Class B IDE</t>
  </si>
  <si>
    <t>1.9 Class C (other than principal) if no Class C IDE</t>
  </si>
  <si>
    <t>1.10 Liquidity Facility principal (not applicable)</t>
  </si>
  <si>
    <t xml:space="preserve">1.11 Redraws and Re-Advances </t>
  </si>
  <si>
    <t xml:space="preserve">1.12 Further Advances and Additional Assets </t>
  </si>
  <si>
    <t xml:space="preserve">1.13 Capital Reserve </t>
  </si>
  <si>
    <t xml:space="preserve">1.14 Redemption of Notes if Class A outstanding </t>
  </si>
  <si>
    <t xml:space="preserve">Class A Redemption Amount </t>
  </si>
  <si>
    <t>Class A2, Class A5, Class A8 &amp; Class A11</t>
  </si>
  <si>
    <t>Class B Redemption Amount</t>
  </si>
  <si>
    <t>Class C Redemption Amount</t>
  </si>
  <si>
    <t>1.15 Arrears Reserve top up if Class A Outstanding</t>
  </si>
  <si>
    <t>1.16 Class B (other than principal) if Class B IDE</t>
  </si>
  <si>
    <t>1.17 Redemption of Notes if no Class A but Class B outstanding</t>
  </si>
  <si>
    <t>1.18 Arrears Reserve top up if no Class A Outstanding</t>
  </si>
  <si>
    <t>1.19 Class C (other than principal) if Class C IDE</t>
  </si>
  <si>
    <t>1.20 Redemption of Notes if no Class B but Class C outstanding</t>
  </si>
  <si>
    <t xml:space="preserve">1.21 Derivative Termination Amounts </t>
  </si>
  <si>
    <t>1.22 Redemption of the Notes if after Latest Coupon Step-Up Date</t>
  </si>
  <si>
    <t>1.23 Subordinated Derivative net settlements and Derivative Termination Amounts</t>
  </si>
  <si>
    <t xml:space="preserve">1.24 Subordinated Loan </t>
  </si>
  <si>
    <t xml:space="preserve">Interest </t>
  </si>
  <si>
    <t>Deferred Interest</t>
  </si>
  <si>
    <t xml:space="preserve">Principal </t>
  </si>
  <si>
    <t>1.25 Dividend to Preference Shareholder</t>
  </si>
  <si>
    <t>1.26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</si>
  <si>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</si>
  <si>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</si>
  <si>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</si>
  <si>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</si>
  <si>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</si>
  <si>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</si>
  <si>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</si>
  <si>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</si>
  <si>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</si>
  <si>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</si>
  <si>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</si>
  <si>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</si>
  <si>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</si>
  <si>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</si>
  <si>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</si>
  <si>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</si>
  <si>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</si>
  <si>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</si>
  <si>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</si>
  <si>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</si>
  <si>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</si>
  <si>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</si>
  <si>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</si>
  <si>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</si>
  <si>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</si>
  <si>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</si>
  <si>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</si>
  <si>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</si>
  <si>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</si>
  <si>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</si>
  <si>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</si>
  <si>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</si>
  <si>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</si>
  <si>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</si>
  <si>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</si>
  <si>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</si>
  <si>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</si>
  <si>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</si>
  <si>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</si>
  <si>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</si>
  <si>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</si>
  <si>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</si>
  <si>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</si>
  <si>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</si>
  <si>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</si>
  <si>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</si>
  <si>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</si>
  <si>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</si>
  <si>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</si>
  <si>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</si>
  <si>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</si>
  <si>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</si>
  <si>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</si>
  <si>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</si>
  <si>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</si>
  <si>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</si>
  <si>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</si>
  <si>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</si>
  <si>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</si>
  <si>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</si>
  <si>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</si>
  <si>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</si>
  <si>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</si>
  <si>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</si>
  <si>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</si>
  <si>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</si>
  <si>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</si>
  <si>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</si>
  <si>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</si>
  <si>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</si>
  <si>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</si>
  <si>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</si>
  <si>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</si>
  <si>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</si>
  <si>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</si>
  <si>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</si>
  <si>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Portfolio Management</t>
  </si>
  <si>
    <t>Loans no longer eligible</t>
  </si>
  <si>
    <t>Performance related - Arrears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</si>
  <si>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</si>
  <si>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</si>
  <si>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</si>
  <si>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</si>
  <si>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</si>
  <si>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</si>
  <si>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</si>
  <si>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</si>
  <si>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</si>
  <si>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</si>
  <si>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</si>
  <si>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</si>
  <si>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</si>
  <si>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</si>
  <si>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</si>
  <si>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</si>
  <si>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</si>
  <si>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</si>
  <si>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</si>
  <si>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</si>
  <si>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</si>
  <si>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</si>
  <si>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</si>
  <si>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</si>
  <si>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</si>
  <si>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</si>
  <si>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</si>
  <si>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</si>
  <si>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</si>
  <si>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</si>
  <si>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</si>
  <si>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</si>
  <si>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</si>
  <si>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 xml:space="preserve">Province </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</si>
  <si>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</si>
  <si>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</si>
  <si>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</si>
  <si>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</si>
  <si>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</si>
  <si>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</si>
  <si>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</si>
  <si>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</si>
  <si>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</si>
  <si>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</si>
  <si>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</si>
  <si>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</si>
  <si>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</si>
  <si>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</si>
  <si>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</si>
  <si>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70 - 81%</t>
  </si>
  <si>
    <t>Loan Commencement Date</t>
  </si>
  <si>
    <t>Current Participating Asset Margin Over Prime</t>
  </si>
  <si>
    <t>0 - 1%</t>
  </si>
  <si>
    <t>1 - 2%</t>
  </si>
  <si>
    <t>2 - 3%</t>
  </si>
  <si>
    <t>3 - 4%</t>
  </si>
  <si>
    <t>4 - 5%</t>
  </si>
  <si>
    <t>5 - 6%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</si>
</sst>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3" formatCode="_-* #,##0.00_-;\-* #,##0.00_-;_-* &quot;-&quot;??_-;_-@_-"/>
    <numFmt numFmtId="164" formatCode="_-* #,##0_-;\-* #,##0_-;_-* &quot;-&quot;??_-;_-@_-"/>
    <numFmt numFmtId="165" formatCode="0.000%"/>
    <numFmt numFmtId="166" formatCode="#,##0.00000000"/>
    <numFmt numFmtId="167" formatCode="_(* #,##0.00_);_(* \(#,##0.00\);_(* &quot;-&quot;??_);_(@_)"/>
    <numFmt numFmtId="168" formatCode="_(* #,##0_);_(* \(#,##0\);_(* &quot;-&quot;??_);_(@_)"/>
    <numFmt numFmtId="169" formatCode="_-* #,##0.0_-;\-* #,##0.0_-;_-* &quot;-&quot;??_-;_-@_-"/>
    <numFmt numFmtId="173" formatCode="_-* #,##0.00_-;\-* #,##0.00_-;_-* &quot;-&quot;??_-;_-@_-"/>
    <numFmt numFmtId="174" formatCode="#,##0_);\(#,##0\);&quot;-  &quot;;&quot; &quot;@&quot; &quot;"/>
    <numFmt numFmtId="175" formatCode="dd\ mmm\ yyyy_);\(###0\);&quot;-  &quot;;&quot; &quot;@&quot; &quot;"/>
    <numFmt numFmtId="177" formatCode="0.00%_);\-0.00%_);&quot;-  &quot;;&quot; &quot;@&quot; &quot;"/>
    <numFmt numFmtId="180" formatCode="_ * #,##0.00_ ;_ * \-#,##0.00_ ;_ * &quot;-&quot;??_ ;_ @_ "/>
    <numFmt numFmtId="182" formatCode="#,##0.0000_);\(#,##0.0000\);&quot;-  &quot;;&quot; &quot;@&quot; &quot;"/>
    <numFmt numFmtId="183" formatCode="dd\ mmm\ yy_);\(###0\);&quot;-  &quot;;&quot; &quot;@&quot; &quot;"/>
    <numFmt numFmtId="184" formatCode="###0_);\(###0\);&quot;-  &quot;;&quot; &quot;@&quot; &quot;"/>
  </numFmts>
  <fonts count="40">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i/>
      <sz val="11"/>
      <color theme="1"/>
      <name val="Calibri"/>
      <family val="2"/>
      <scheme val="minor"/>
    </font>
    <font>
      <sz val="11"/>
      <name val="Calibri"/>
      <family val="2"/>
      <scheme val="minor"/>
    </font>
    <font>
      <i/>
      <sz val="11"/>
      <name val="Calibri"/>
      <family val="2"/>
      <scheme val="minor"/>
    </font>
    <font>
      <b/>
      <u/>
      <sz val="11"/>
      <color theme="1"/>
      <name val="Calibri"/>
      <family val="2"/>
      <scheme val="minor"/>
    </font>
    <font>
      <sz val="11"/>
      <color rgb="FF92D050"/>
      <name val="Calibri"/>
      <family val="2"/>
      <scheme val="minor"/>
    </font>
    <font>
      <sz val="11"/>
      <color rgb="FFFFFF00"/>
      <name val="Calibri"/>
      <family val="2"/>
      <scheme val="minor"/>
    </font>
    <font>
      <sz val="11"/>
      <color rgb="FFC00000"/>
      <name val="Calibri"/>
      <family val="2"/>
      <scheme val="minor"/>
    </font>
    <font>
      <u/>
      <sz val="11"/>
      <color theme="1"/>
      <name val="Calibri (Body)"/>
    </font>
    <font>
      <b/>
      <i/>
      <sz val="11"/>
      <color theme="1"/>
      <name val="Calibri"/>
      <family val="2"/>
      <scheme val="minor"/>
    </font>
    <font>
      <b/>
      <i/>
      <sz val="11"/>
      <name val="Calibri"/>
      <family val="2"/>
      <scheme val="minor"/>
    </font>
    <font>
      <i/>
      <sz val="11"/>
      <color rgb="FFFF0000"/>
      <name val="Calibri"/>
      <family val="2"/>
      <scheme val="minor"/>
    </font>
    <font>
      <sz val="11"/>
      <color theme="1"/>
      <name val="Calibri"/>
      <family val="2"/>
    </font>
    <font>
      <b/>
      <sz val="11"/>
      <color theme="1"/>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000000"/>
      <name val="Calibri"/>
      <family val="2"/>
      <scheme val="minor"/>
    </font>
    <font>
      <sz val="11"/>
      <color rgb="FF9C6500"/>
      <name val="Calibri"/>
      <family val="2"/>
      <scheme val="minor"/>
    </font>
    <font>
      <sz val="11"/>
      <name val="Calibri"/>
      <family val="2"/>
    </font>
    <font>
      <sz val="10"/>
      <name val="Arial"/>
      <family val="2"/>
    </font>
    <font>
      <sz val="18"/>
      <color rgb="FF203764"/>
      <name val="Calibri Light"/>
      <family val="2"/>
    </font>
    <font>
      <i/>
      <sz val="10"/>
      <name val="Calibri"/>
      <family val="2"/>
    </font>
    <font>
      <sz val="11"/>
      <name val="Aptos Narrow"/>
      <family val="2"/>
    </font>
  </fonts>
  <fills count="40">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64">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27">
    <xf numFmtId="0" fontId="0" fillId="0" borderId="0"/>
    <xf numFmtId="43"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xf numFmtId="0" fontId="19" fillId="0" borderId="55" applyNumberFormat="0" applyFill="0" applyAlignment="0" applyProtection="0"/>
    <xf numFmtId="0" fontId="20" fillId="0" borderId="56" applyNumberFormat="0" applyFill="0" applyAlignment="0" applyProtection="0"/>
    <xf numFmtId="0" fontId="21" fillId="0" borderId="57" applyNumberFormat="0" applyFill="0" applyAlignment="0" applyProtection="0"/>
    <xf numFmtId="0" fontId="21" fillId="0" borderId="0" applyNumberFormat="0" applyFill="0" applyBorder="0" applyAlignment="0" applyProtection="0"/>
    <xf numFmtId="0" fontId="22" fillId="9" borderId="0" applyNumberFormat="0" applyBorder="0" applyAlignment="0" applyProtection="0"/>
    <xf numFmtId="0" fontId="23" fillId="10" borderId="0" applyNumberFormat="0" applyBorder="0" applyAlignment="0" applyProtection="0"/>
    <xf numFmtId="0" fontId="25" fillId="12" borderId="58" applyNumberFormat="0" applyAlignment="0" applyProtection="0"/>
    <xf numFmtId="0" fontId="26" fillId="13" borderId="59" applyNumberFormat="0" applyAlignment="0" applyProtection="0"/>
    <xf numFmtId="0" fontId="27" fillId="13" borderId="58" applyNumberFormat="0" applyAlignment="0" applyProtection="0"/>
    <xf numFmtId="0" fontId="28" fillId="0" borderId="60" applyNumberFormat="0" applyFill="0" applyAlignment="0" applyProtection="0"/>
    <xf numFmtId="0" fontId="29" fillId="14" borderId="61" applyNumberFormat="0" applyAlignment="0" applyProtection="0"/>
    <xf numFmtId="0" fontId="30" fillId="0" borderId="0" applyNumberFormat="0" applyFill="0" applyBorder="0" applyAlignment="0" applyProtection="0"/>
    <xf numFmtId="0" fontId="1" fillId="15" borderId="62" applyNumberFormat="0" applyFont="0" applyAlignment="0" applyProtection="0"/>
    <xf numFmtId="0" fontId="31" fillId="0" borderId="0" applyNumberFormat="0" applyFill="0" applyBorder="0" applyAlignment="0" applyProtection="0"/>
    <xf numFmtId="0" fontId="2" fillId="0" borderId="63" applyNumberFormat="0" applyFill="0" applyAlignment="0" applyProtection="0"/>
    <xf numFmtId="0" fontId="3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3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3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2"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173" fontId="1" fillId="0" borderId="0" applyFont="0" applyFill="0" applyBorder="0" applyAlignment="0" applyProtection="0"/>
    <xf numFmtId="174" fontId="1" fillId="0" borderId="0" applyFont="0" applyFill="0" applyBorder="0" applyProtection="0">
      <alignment vertical="top"/>
    </xf>
    <xf numFmtId="43" fontId="1" fillId="0" borderId="0" applyFont="0" applyFill="0" applyBorder="0" applyAlignment="0" applyProtection="0"/>
    <xf numFmtId="175" fontId="1" fillId="0" borderId="0" applyFont="0" applyFill="0" applyBorder="0" applyProtection="0">
      <alignment vertical="top"/>
    </xf>
    <xf numFmtId="177" fontId="1" fillId="0" borderId="0" applyFont="0" applyFill="0" applyBorder="0" applyProtection="0">
      <alignment vertical="top"/>
    </xf>
    <xf numFmtId="43" fontId="1" fillId="0" borderId="0" applyFont="0" applyFill="0" applyBorder="0" applyAlignment="0" applyProtection="0"/>
    <xf numFmtId="180" fontId="1" fillId="0" borderId="0" applyFont="0" applyFill="0" applyBorder="0" applyAlignment="0" applyProtection="0"/>
    <xf numFmtId="0" fontId="1" fillId="0" borderId="0"/>
    <xf numFmtId="9" fontId="1" fillId="0" borderId="0" applyFont="0" applyFill="0" applyBorder="0" applyAlignment="0" applyProtection="0"/>
    <xf numFmtId="173" fontId="1" fillId="0" borderId="0" applyFont="0" applyFill="0" applyBorder="0" applyAlignment="0" applyProtection="0"/>
    <xf numFmtId="0" fontId="33" fillId="0" borderId="0"/>
    <xf numFmtId="174" fontId="1" fillId="0" borderId="0" applyFont="0" applyFill="0" applyBorder="0" applyProtection="0">
      <alignment vertical="top"/>
    </xf>
    <xf numFmtId="0" fontId="34" fillId="11" borderId="0" applyNumberFormat="0" applyBorder="0" applyAlignment="0" applyProtection="0"/>
    <xf numFmtId="174" fontId="1" fillId="0" borderId="0" applyFont="0" applyFill="0" applyBorder="0" applyProtection="0">
      <alignment vertical="top"/>
    </xf>
    <xf numFmtId="0" fontId="32" fillId="19" borderId="0" applyNumberFormat="0" applyBorder="0" applyAlignment="0" applyProtection="0"/>
    <xf numFmtId="0" fontId="32" fillId="23" borderId="0" applyNumberFormat="0" applyBorder="0" applyAlignment="0" applyProtection="0"/>
    <xf numFmtId="0" fontId="32" fillId="27" borderId="0" applyNumberFormat="0" applyBorder="0" applyAlignment="0" applyProtection="0"/>
    <xf numFmtId="0" fontId="32" fillId="31" borderId="0" applyNumberFormat="0" applyBorder="0" applyAlignment="0" applyProtection="0"/>
    <xf numFmtId="0" fontId="32" fillId="35" borderId="0" applyNumberFormat="0" applyBorder="0" applyAlignment="0" applyProtection="0"/>
    <xf numFmtId="0" fontId="32" fillId="39" borderId="0" applyNumberFormat="0" applyBorder="0" applyAlignment="0" applyProtection="0"/>
    <xf numFmtId="0" fontId="33" fillId="0" borderId="0"/>
    <xf numFmtId="182" fontId="1" fillId="0" borderId="0" applyFont="0" applyFill="0" applyBorder="0" applyProtection="0">
      <alignment vertical="top"/>
    </xf>
    <xf numFmtId="183" fontId="1" fillId="0" borderId="0" applyFont="0" applyFill="0" applyBorder="0" applyProtection="0">
      <alignment vertical="top"/>
    </xf>
    <xf numFmtId="184" fontId="1" fillId="0" borderId="0" applyFont="0" applyFill="0" applyBorder="0" applyProtection="0">
      <alignment vertical="top"/>
    </xf>
    <xf numFmtId="0" fontId="1" fillId="0" borderId="0"/>
    <xf numFmtId="174" fontId="1" fillId="0" borderId="0" applyFont="0" applyFill="0" applyBorder="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11" borderId="0" applyNumberFormat="0" applyBorder="0" applyAlignment="0" applyProtection="0"/>
    <xf numFmtId="0" fontId="1" fillId="0" borderId="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174" fontId="1" fillId="0" borderId="0" applyFont="0" applyFill="0" applyBorder="0" applyProtection="0">
      <alignment vertical="top"/>
    </xf>
    <xf numFmtId="174" fontId="1" fillId="0" borderId="0" applyFont="0" applyFill="0" applyBorder="0" applyProtection="0">
      <alignment vertical="top"/>
    </xf>
    <xf numFmtId="174" fontId="1" fillId="0" borderId="0" applyFont="0" applyFill="0" applyBorder="0" applyProtection="0">
      <alignment vertical="top"/>
    </xf>
    <xf numFmtId="173" fontId="33" fillId="0" borderId="0" applyFont="0" applyFill="0" applyBorder="0" applyAlignment="0" applyProtection="0"/>
    <xf numFmtId="0" fontId="33" fillId="0" borderId="0"/>
    <xf numFmtId="180" fontId="33" fillId="0" borderId="0" applyFont="0" applyFill="0" applyBorder="0" applyAlignment="0" applyProtection="0"/>
    <xf numFmtId="0" fontId="36" fillId="0" borderId="0"/>
    <xf numFmtId="0" fontId="33" fillId="0" borderId="0"/>
    <xf numFmtId="173" fontId="36"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35" fillId="0" borderId="0"/>
    <xf numFmtId="0" fontId="37" fillId="0" borderId="0"/>
    <xf numFmtId="0" fontId="38" fillId="0" borderId="0"/>
    <xf numFmtId="173" fontId="1" fillId="0" borderId="0" applyFont="0" applyFill="0" applyBorder="0" applyAlignment="0" applyProtection="0"/>
    <xf numFmtId="0" fontId="35" fillId="0" borderId="0"/>
    <xf numFmtId="0" fontId="35" fillId="0" borderId="0"/>
    <xf numFmtId="0" fontId="35" fillId="0" borderId="0"/>
    <xf numFmtId="173" fontId="33"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33" fillId="0" borderId="0" applyFont="0" applyFill="0" applyBorder="0" applyAlignment="0" applyProtection="0"/>
    <xf numFmtId="173" fontId="36"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35" fillId="0" borderId="0"/>
    <xf numFmtId="173" fontId="1" fillId="0" borderId="0" applyFont="0" applyFill="0" applyBorder="0" applyAlignment="0" applyProtection="0"/>
    <xf numFmtId="173" fontId="33"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39" fillId="0" borderId="0"/>
    <xf numFmtId="0" fontId="39" fillId="0" borderId="0"/>
    <xf numFmtId="0" fontId="39" fillId="0" borderId="0"/>
    <xf numFmtId="173" fontId="1" fillId="0" borderId="0" applyFont="0" applyFill="0" applyBorder="0" applyAlignment="0" applyProtection="0"/>
    <xf numFmtId="0" fontId="39" fillId="0" borderId="0"/>
  </cellStyleXfs>
  <cellXfs count="606">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43" fontId="0" fillId="2" borderId="0" xfId="1" applyFont="1" applyFill="1"/>
    <xf numFmtId="0" fontId="0" fillId="3" borderId="5" xfId="0" applyFill="1" applyBorder="1"/>
    <xf numFmtId="43" fontId="0" fillId="2" borderId="0" xfId="0" applyNumberFormat="1" applyFill="1"/>
    <xf numFmtId="0" fontId="0" fillId="3" borderId="0" xfId="0" applyFill="1"/>
    <xf numFmtId="0" fontId="2" fillId="5" borderId="12" xfId="0" applyFont="1" applyFill="1" applyBorder="1"/>
    <xf numFmtId="0" fontId="2" fillId="5" borderId="13" xfId="0" applyFont="1" applyFill="1" applyBorder="1"/>
    <xf numFmtId="0" fontId="2" fillId="5" borderId="17" xfId="0" applyFont="1" applyFill="1" applyBorder="1"/>
    <xf numFmtId="0" fontId="2" fillId="5" borderId="18" xfId="0" applyFont="1" applyFill="1" applyBorder="1"/>
    <xf numFmtId="0" fontId="2" fillId="5" borderId="19" xfId="0" applyFont="1" applyFill="1" applyBorder="1"/>
    <xf numFmtId="0" fontId="2" fillId="5" borderId="19" xfId="0" applyFont="1" applyFill="1" applyBorder="1" applyAlignment="1">
      <alignment horizontal="left" vertical="center"/>
    </xf>
    <xf numFmtId="0" fontId="2" fillId="5" borderId="25" xfId="0" applyFont="1" applyFill="1" applyBorder="1"/>
    <xf numFmtId="0" fontId="2" fillId="5" borderId="17" xfId="0" applyFont="1" applyFill="1" applyBorder="1" applyAlignment="1">
      <alignment horizontal="left" vertical="center"/>
    </xf>
    <xf numFmtId="0" fontId="2" fillId="5" borderId="18" xfId="0" applyFont="1" applyFill="1" applyBorder="1" applyAlignment="1">
      <alignment horizontal="left" vertical="center"/>
    </xf>
    <xf numFmtId="0" fontId="2" fillId="5" borderId="27" xfId="0" applyFont="1" applyFill="1" applyBorder="1"/>
    <xf numFmtId="0" fontId="2" fillId="5" borderId="0" xfId="0" applyFont="1" applyFill="1" applyAlignment="1">
      <alignment horizontal="left" vertical="center"/>
    </xf>
    <xf numFmtId="0" fontId="2" fillId="5" borderId="28" xfId="0" applyFont="1" applyFill="1" applyBorder="1" applyAlignment="1">
      <alignment horizontal="left" vertical="center"/>
    </xf>
    <xf numFmtId="0" fontId="2" fillId="5" borderId="28" xfId="0" applyFont="1" applyFill="1" applyBorder="1"/>
    <xf numFmtId="0" fontId="2" fillId="5" borderId="30" xfId="0" applyFont="1" applyFill="1" applyBorder="1"/>
    <xf numFmtId="0" fontId="2" fillId="5" borderId="31" xfId="0" applyFont="1" applyFill="1" applyBorder="1"/>
    <xf numFmtId="0" fontId="2" fillId="5" borderId="30" xfId="0" applyFont="1" applyFill="1" applyBorder="1" applyAlignment="1">
      <alignment horizontal="left" vertical="center"/>
    </xf>
    <xf numFmtId="164" fontId="0" fillId="2" borderId="0" xfId="0" applyNumberFormat="1" applyFill="1"/>
    <xf numFmtId="0" fontId="2" fillId="5" borderId="6" xfId="0" applyFont="1" applyFill="1" applyBorder="1"/>
    <xf numFmtId="0" fontId="2" fillId="5" borderId="7" xfId="0" applyFont="1" applyFill="1" applyBorder="1"/>
    <xf numFmtId="0" fontId="2" fillId="5" borderId="32" xfId="0" applyFont="1" applyFill="1" applyBorder="1"/>
    <xf numFmtId="0" fontId="2" fillId="6" borderId="12" xfId="0" applyFont="1" applyFill="1" applyBorder="1"/>
    <xf numFmtId="0" fontId="2" fillId="6" borderId="13" xfId="0" applyFont="1" applyFill="1" applyBorder="1"/>
    <xf numFmtId="0" fontId="2" fillId="6" borderId="35" xfId="0" applyFont="1" applyFill="1" applyBorder="1"/>
    <xf numFmtId="0" fontId="0" fillId="5" borderId="28" xfId="0" applyFill="1" applyBorder="1"/>
    <xf numFmtId="0" fontId="2" fillId="5" borderId="21" xfId="0" applyFont="1" applyFill="1" applyBorder="1"/>
    <xf numFmtId="0" fontId="2" fillId="5" borderId="36" xfId="0" applyFont="1" applyFill="1" applyBorder="1"/>
    <xf numFmtId="0" fontId="2" fillId="5" borderId="5" xfId="0" applyFont="1" applyFill="1" applyBorder="1"/>
    <xf numFmtId="0" fontId="0" fillId="5" borderId="0" xfId="0" applyFill="1"/>
    <xf numFmtId="0" fontId="6" fillId="0" borderId="25" xfId="0" applyFont="1" applyBorder="1" applyAlignment="1">
      <alignment horizontal="center"/>
    </xf>
    <xf numFmtId="0" fontId="0" fillId="3" borderId="25" xfId="0" applyFill="1" applyBorder="1" applyAlignment="1">
      <alignment horizontal="center"/>
    </xf>
    <xf numFmtId="0" fontId="0" fillId="3" borderId="21" xfId="0" applyFill="1" applyBorder="1" applyAlignment="1">
      <alignment horizontal="center"/>
    </xf>
    <xf numFmtId="0" fontId="6" fillId="3" borderId="36" xfId="0" applyFont="1" applyFill="1" applyBorder="1" applyAlignment="1">
      <alignment horizontal="center"/>
    </xf>
    <xf numFmtId="0" fontId="0" fillId="0" borderId="25" xfId="0" applyBorder="1" applyAlignment="1">
      <alignment horizontal="center"/>
    </xf>
    <xf numFmtId="0" fontId="0" fillId="0" borderId="21" xfId="0" applyBorder="1" applyAlignment="1">
      <alignment horizontal="center"/>
    </xf>
    <xf numFmtId="0" fontId="0" fillId="0" borderId="36" xfId="0" applyBorder="1" applyAlignment="1">
      <alignment horizontal="center"/>
    </xf>
    <xf numFmtId="0" fontId="6" fillId="3" borderId="25" xfId="0" applyFont="1" applyFill="1" applyBorder="1" applyAlignment="1">
      <alignment horizontal="center"/>
    </xf>
    <xf numFmtId="0" fontId="6" fillId="3" borderId="21" xfId="0" applyFont="1" applyFill="1" applyBorder="1" applyAlignment="1">
      <alignment horizontal="center"/>
    </xf>
    <xf numFmtId="10" fontId="7" fillId="0" borderId="25" xfId="0" applyNumberFormat="1" applyFont="1" applyBorder="1"/>
    <xf numFmtId="10" fontId="7" fillId="0" borderId="25" xfId="2" applyNumberFormat="1" applyFont="1" applyFill="1" applyBorder="1" applyAlignment="1"/>
    <xf numFmtId="10" fontId="7" fillId="0" borderId="25" xfId="2" applyNumberFormat="1" applyFont="1" applyFill="1" applyBorder="1" applyAlignment="1">
      <alignment horizontal="right"/>
    </xf>
    <xf numFmtId="10" fontId="7" fillId="3" borderId="25" xfId="2" applyNumberFormat="1" applyFont="1" applyFill="1" applyBorder="1" applyAlignment="1"/>
    <xf numFmtId="10" fontId="7" fillId="3" borderId="21" xfId="2" applyNumberFormat="1" applyFont="1" applyFill="1" applyBorder="1" applyAlignment="1"/>
    <xf numFmtId="10" fontId="7" fillId="3" borderId="36" xfId="2" applyNumberFormat="1" applyFont="1" applyFill="1" applyBorder="1" applyAlignment="1"/>
    <xf numFmtId="165" fontId="7" fillId="0" borderId="25" xfId="0" applyNumberFormat="1" applyFont="1" applyBorder="1"/>
    <xf numFmtId="165" fontId="7" fillId="0" borderId="25" xfId="2" applyNumberFormat="1" applyFont="1" applyFill="1" applyBorder="1" applyAlignment="1"/>
    <xf numFmtId="165" fontId="7" fillId="0" borderId="25" xfId="2" applyNumberFormat="1" applyFont="1" applyFill="1" applyBorder="1" applyAlignment="1">
      <alignment horizontal="right"/>
    </xf>
    <xf numFmtId="165" fontId="7" fillId="3" borderId="25" xfId="2" applyNumberFormat="1" applyFont="1" applyFill="1" applyBorder="1" applyAlignment="1"/>
    <xf numFmtId="165" fontId="7" fillId="3" borderId="21" xfId="2" applyNumberFormat="1" applyFont="1" applyFill="1" applyBorder="1" applyAlignment="1"/>
    <xf numFmtId="165" fontId="7" fillId="3" borderId="36" xfId="2" applyNumberFormat="1" applyFont="1" applyFill="1" applyBorder="1" applyAlignment="1"/>
    <xf numFmtId="164" fontId="7" fillId="0" borderId="25" xfId="1" applyNumberFormat="1" applyFont="1" applyFill="1" applyBorder="1" applyAlignment="1"/>
    <xf numFmtId="164" fontId="7" fillId="3" borderId="25" xfId="1" applyNumberFormat="1" applyFont="1" applyFill="1" applyBorder="1" applyAlignment="1"/>
    <xf numFmtId="164" fontId="7" fillId="3" borderId="21" xfId="1" applyNumberFormat="1" applyFont="1" applyFill="1" applyBorder="1" applyAlignment="1"/>
    <xf numFmtId="164" fontId="7" fillId="3" borderId="36" xfId="1" applyNumberFormat="1" applyFont="1" applyFill="1" applyBorder="1" applyAlignment="1"/>
    <xf numFmtId="10" fontId="5" fillId="3" borderId="25" xfId="0" applyNumberFormat="1" applyFont="1" applyFill="1" applyBorder="1"/>
    <xf numFmtId="10" fontId="5" fillId="3" borderId="21" xfId="0" applyNumberFormat="1" applyFont="1" applyFill="1" applyBorder="1"/>
    <xf numFmtId="0" fontId="0" fillId="5" borderId="30" xfId="0" applyFill="1" applyBorder="1" applyAlignment="1">
      <alignment horizontal="left" indent="1"/>
    </xf>
    <xf numFmtId="164" fontId="7" fillId="0" borderId="21" xfId="1" applyNumberFormat="1" applyFont="1" applyFill="1" applyBorder="1" applyAlignment="1"/>
    <xf numFmtId="164" fontId="7" fillId="0" borderId="36" xfId="1" applyNumberFormat="1" applyFont="1" applyFill="1" applyBorder="1" applyAlignment="1"/>
    <xf numFmtId="15" fontId="0" fillId="2" borderId="0" xfId="0" applyNumberFormat="1" applyFill="1"/>
    <xf numFmtId="164" fontId="5" fillId="3" borderId="25" xfId="1" applyNumberFormat="1" applyFont="1" applyFill="1" applyBorder="1" applyAlignment="1"/>
    <xf numFmtId="0" fontId="7" fillId="0" borderId="25" xfId="1" applyNumberFormat="1" applyFont="1" applyFill="1" applyBorder="1" applyAlignment="1"/>
    <xf numFmtId="164" fontId="0" fillId="3" borderId="1" xfId="0" applyNumberFormat="1" applyFill="1" applyBorder="1"/>
    <xf numFmtId="10" fontId="7" fillId="0" borderId="21" xfId="2" applyNumberFormat="1" applyFont="1" applyFill="1" applyBorder="1" applyAlignment="1"/>
    <xf numFmtId="0" fontId="0" fillId="5" borderId="5" xfId="0" applyFill="1" applyBorder="1" applyAlignment="1">
      <alignment horizontal="left" indent="1"/>
    </xf>
    <xf numFmtId="10" fontId="7" fillId="0" borderId="25" xfId="2" applyNumberFormat="1" applyFont="1" applyFill="1" applyBorder="1" applyAlignment="1">
      <alignment horizontal="center"/>
    </xf>
    <xf numFmtId="15" fontId="7" fillId="0" borderId="25" xfId="0" applyNumberFormat="1" applyFont="1" applyBorder="1"/>
    <xf numFmtId="15" fontId="7" fillId="3" borderId="25" xfId="0" applyNumberFormat="1" applyFont="1" applyFill="1" applyBorder="1"/>
    <xf numFmtId="15" fontId="7" fillId="3" borderId="21" xfId="0" applyNumberFormat="1" applyFont="1" applyFill="1" applyBorder="1"/>
    <xf numFmtId="15" fontId="7" fillId="3" borderId="36" xfId="0" applyNumberFormat="1" applyFont="1" applyFill="1" applyBorder="1"/>
    <xf numFmtId="0" fontId="7" fillId="0" borderId="25" xfId="0" applyFont="1" applyBorder="1" applyAlignment="1">
      <alignment horizontal="center"/>
    </xf>
    <xf numFmtId="0" fontId="7" fillId="3" borderId="25" xfId="0" applyFont="1" applyFill="1" applyBorder="1" applyAlignment="1">
      <alignment horizontal="center"/>
    </xf>
    <xf numFmtId="0" fontId="7" fillId="3" borderId="21" xfId="0" applyFont="1" applyFill="1" applyBorder="1" applyAlignment="1">
      <alignment horizontal="center"/>
    </xf>
    <xf numFmtId="0" fontId="7" fillId="3" borderId="36" xfId="0" applyFont="1" applyFill="1" applyBorder="1" applyAlignment="1">
      <alignment horizontal="center"/>
    </xf>
    <xf numFmtId="0" fontId="2" fillId="5" borderId="33" xfId="0" applyFont="1" applyFill="1" applyBorder="1"/>
    <xf numFmtId="0" fontId="0" fillId="5" borderId="32" xfId="0" applyFill="1" applyBorder="1"/>
    <xf numFmtId="0" fontId="7" fillId="0" borderId="37" xfId="0" applyFont="1" applyBorder="1" applyAlignment="1">
      <alignment horizontal="center" wrapText="1"/>
    </xf>
    <xf numFmtId="0" fontId="7" fillId="0" borderId="27" xfId="0" applyFont="1" applyBorder="1" applyAlignment="1">
      <alignment horizontal="center" wrapText="1"/>
    </xf>
    <xf numFmtId="0" fontId="7" fillId="0" borderId="37" xfId="0" applyFont="1" applyBorder="1" applyAlignment="1">
      <alignment horizontal="center"/>
    </xf>
    <xf numFmtId="0" fontId="7" fillId="0" borderId="27" xfId="0" applyFont="1" applyBorder="1" applyAlignment="1">
      <alignment horizontal="center"/>
    </xf>
    <xf numFmtId="0" fontId="7" fillId="0" borderId="38" xfId="0" applyFont="1" applyBorder="1" applyAlignment="1">
      <alignment horizontal="center"/>
    </xf>
    <xf numFmtId="0" fontId="7" fillId="0" borderId="34" xfId="0" applyFont="1" applyBorder="1" applyAlignment="1">
      <alignment horizontal="center"/>
    </xf>
    <xf numFmtId="0" fontId="0" fillId="3" borderId="7" xfId="0" applyFill="1" applyBorder="1"/>
    <xf numFmtId="0" fontId="0" fillId="3" borderId="10" xfId="0" applyFill="1" applyBorder="1"/>
    <xf numFmtId="166" fontId="0" fillId="2" borderId="0" xfId="0" applyNumberFormat="1" applyFill="1"/>
    <xf numFmtId="4" fontId="0" fillId="2" borderId="0" xfId="0" applyNumberFormat="1" applyFill="1"/>
    <xf numFmtId="167" fontId="0" fillId="2" borderId="0" xfId="0" applyNumberFormat="1" applyFill="1"/>
    <xf numFmtId="3" fontId="0" fillId="2" borderId="0" xfId="0" applyNumberFormat="1" applyFill="1"/>
    <xf numFmtId="0" fontId="2" fillId="5" borderId="23" xfId="0" applyFont="1" applyFill="1" applyBorder="1"/>
    <xf numFmtId="0" fontId="0" fillId="5" borderId="19" xfId="0" applyFill="1" applyBorder="1"/>
    <xf numFmtId="164" fontId="5" fillId="3" borderId="0" xfId="1" applyNumberFormat="1" applyFont="1" applyFill="1" applyBorder="1" applyAlignment="1">
      <alignment horizontal="center"/>
    </xf>
    <xf numFmtId="164" fontId="5" fillId="3" borderId="0" xfId="1" applyNumberFormat="1" applyFont="1" applyFill="1" applyBorder="1" applyAlignment="1"/>
    <xf numFmtId="164" fontId="5" fillId="3" borderId="1" xfId="1" applyNumberFormat="1" applyFont="1" applyFill="1" applyBorder="1" applyAlignment="1"/>
    <xf numFmtId="43" fontId="9" fillId="2" borderId="0" xfId="1" applyFont="1" applyFill="1"/>
    <xf numFmtId="164" fontId="5" fillId="3" borderId="0" xfId="1" applyNumberFormat="1" applyFont="1" applyFill="1" applyBorder="1" applyAlignment="1">
      <alignment horizontal="right"/>
    </xf>
    <xf numFmtId="4" fontId="9" fillId="2" borderId="0" xfId="0" applyNumberFormat="1" applyFont="1" applyFill="1"/>
    <xf numFmtId="164" fontId="5" fillId="0" borderId="7" xfId="1" applyNumberFormat="1" applyFont="1" applyFill="1" applyBorder="1" applyAlignment="1">
      <alignment horizontal="center"/>
    </xf>
    <xf numFmtId="164" fontId="5" fillId="0" borderId="0" xfId="1" applyNumberFormat="1" applyFont="1" applyFill="1" applyBorder="1" applyAlignment="1">
      <alignment horizontal="right"/>
    </xf>
    <xf numFmtId="164" fontId="0" fillId="2" borderId="0" xfId="1" applyNumberFormat="1" applyFont="1" applyFill="1"/>
    <xf numFmtId="43" fontId="10" fillId="2" borderId="0" xfId="1" applyFont="1" applyFill="1"/>
    <xf numFmtId="167" fontId="10" fillId="2" borderId="0" xfId="0" applyNumberFormat="1" applyFont="1" applyFill="1"/>
    <xf numFmtId="164" fontId="5" fillId="3" borderId="40" xfId="1" applyNumberFormat="1" applyFont="1" applyFill="1" applyBorder="1" applyAlignment="1"/>
    <xf numFmtId="164" fontId="1" fillId="3" borderId="1" xfId="1" applyNumberFormat="1" applyFont="1" applyFill="1" applyBorder="1" applyAlignment="1"/>
    <xf numFmtId="0" fontId="0" fillId="5" borderId="42" xfId="0" applyFill="1" applyBorder="1"/>
    <xf numFmtId="164" fontId="5" fillId="3" borderId="18" xfId="1" applyNumberFormat="1" applyFont="1" applyFill="1" applyBorder="1" applyAlignment="1"/>
    <xf numFmtId="0" fontId="0" fillId="5" borderId="24" xfId="0" applyFill="1" applyBorder="1"/>
    <xf numFmtId="0" fontId="0" fillId="5" borderId="17" xfId="0" applyFill="1" applyBorder="1" applyAlignment="1">
      <alignment horizontal="left" indent="1"/>
    </xf>
    <xf numFmtId="0" fontId="0" fillId="5" borderId="18" xfId="0" applyFill="1" applyBorder="1"/>
    <xf numFmtId="164" fontId="5" fillId="0" borderId="18" xfId="1" applyNumberFormat="1" applyFont="1" applyFill="1" applyBorder="1" applyAlignment="1">
      <alignment horizontal="center"/>
    </xf>
    <xf numFmtId="164" fontId="0" fillId="3" borderId="1" xfId="1" applyNumberFormat="1" applyFont="1" applyFill="1" applyBorder="1" applyAlignment="1"/>
    <xf numFmtId="0" fontId="0" fillId="5" borderId="5" xfId="0" applyFill="1" applyBorder="1" applyAlignment="1">
      <alignment horizontal="left" indent="2"/>
    </xf>
    <xf numFmtId="164" fontId="0" fillId="3" borderId="0" xfId="1" applyNumberFormat="1" applyFont="1" applyFill="1" applyBorder="1" applyAlignment="1">
      <alignment horizontal="right"/>
    </xf>
    <xf numFmtId="164" fontId="5" fillId="3" borderId="31" xfId="1" applyNumberFormat="1" applyFont="1" applyFill="1" applyBorder="1" applyAlignment="1"/>
    <xf numFmtId="164" fontId="5" fillId="3" borderId="18" xfId="1" applyNumberFormat="1" applyFont="1" applyFill="1" applyBorder="1"/>
    <xf numFmtId="164" fontId="0" fillId="3" borderId="39" xfId="1" applyNumberFormat="1" applyFont="1" applyFill="1" applyBorder="1" applyAlignment="1"/>
    <xf numFmtId="0" fontId="2" fillId="5" borderId="23" xfId="0" applyFont="1" applyFill="1" applyBorder="1" applyAlignment="1">
      <alignment horizontal="left"/>
    </xf>
    <xf numFmtId="0" fontId="2" fillId="5" borderId="5" xfId="0" applyFont="1" applyFill="1" applyBorder="1" applyAlignment="1">
      <alignment horizontal="left"/>
    </xf>
    <xf numFmtId="164" fontId="1" fillId="3" borderId="1" xfId="1" applyNumberFormat="1" applyFont="1" applyFill="1" applyBorder="1" applyAlignment="1">
      <alignment horizontal="right"/>
    </xf>
    <xf numFmtId="164" fontId="7" fillId="3" borderId="0" xfId="1" applyNumberFormat="1" applyFont="1" applyFill="1" applyBorder="1" applyAlignment="1">
      <alignment horizontal="center"/>
    </xf>
    <xf numFmtId="164" fontId="1" fillId="3" borderId="0" xfId="1" applyNumberFormat="1" applyFont="1" applyFill="1" applyBorder="1" applyAlignment="1">
      <alignment horizontal="right"/>
    </xf>
    <xf numFmtId="164" fontId="1" fillId="3" borderId="0" xfId="1" applyNumberFormat="1" applyFont="1" applyFill="1" applyBorder="1" applyAlignment="1"/>
    <xf numFmtId="10" fontId="0" fillId="2" borderId="0" xfId="2" applyNumberFormat="1" applyFont="1" applyFill="1"/>
    <xf numFmtId="164" fontId="11" fillId="2" borderId="0" xfId="0" applyNumberFormat="1" applyFont="1" applyFill="1"/>
    <xf numFmtId="0" fontId="0" fillId="5" borderId="6" xfId="0" applyFill="1" applyBorder="1" applyAlignment="1">
      <alignment horizontal="left" indent="1"/>
    </xf>
    <xf numFmtId="0" fontId="0" fillId="5" borderId="7" xfId="0" applyFill="1" applyBorder="1"/>
    <xf numFmtId="164" fontId="5" fillId="3" borderId="7" xfId="1" applyNumberFormat="1" applyFont="1" applyFill="1" applyBorder="1" applyAlignment="1">
      <alignment horizontal="center"/>
    </xf>
    <xf numFmtId="0" fontId="0" fillId="3" borderId="8" xfId="0" applyFill="1" applyBorder="1"/>
    <xf numFmtId="0" fontId="0" fillId="3" borderId="0" xfId="0" applyFill="1" applyAlignment="1">
      <alignment horizontal="left" indent="1"/>
    </xf>
    <xf numFmtId="0" fontId="8" fillId="5" borderId="0" xfId="0" applyFont="1" applyFill="1" applyAlignment="1">
      <alignment horizontal="center"/>
    </xf>
    <xf numFmtId="0" fontId="8" fillId="5" borderId="42" xfId="0" applyFont="1" applyFill="1" applyBorder="1" applyAlignment="1">
      <alignment horizontal="center"/>
    </xf>
    <xf numFmtId="164" fontId="5" fillId="0" borderId="0" xfId="1" applyNumberFormat="1" applyFont="1" applyFill="1" applyBorder="1" applyAlignment="1">
      <alignment horizontal="center"/>
    </xf>
    <xf numFmtId="0" fontId="6" fillId="2" borderId="0" xfId="0" applyFont="1" applyFill="1"/>
    <xf numFmtId="43" fontId="2" fillId="2" borderId="0" xfId="1" applyFont="1" applyFill="1"/>
    <xf numFmtId="0" fontId="0" fillId="5" borderId="43" xfId="0" applyFill="1" applyBorder="1"/>
    <xf numFmtId="164" fontId="0" fillId="3" borderId="8" xfId="1" applyNumberFormat="1" applyFont="1" applyFill="1" applyBorder="1" applyAlignment="1"/>
    <xf numFmtId="43" fontId="0" fillId="3" borderId="0" xfId="1" applyFont="1" applyFill="1" applyBorder="1" applyAlignment="1">
      <alignment horizontal="right"/>
    </xf>
    <xf numFmtId="43" fontId="0" fillId="3" borderId="0" xfId="1" applyFont="1" applyFill="1" applyBorder="1" applyAlignment="1"/>
    <xf numFmtId="0" fontId="2" fillId="5" borderId="17" xfId="0" applyFont="1" applyFill="1" applyBorder="1" applyAlignment="1">
      <alignment horizontal="left"/>
    </xf>
    <xf numFmtId="0" fontId="2" fillId="5" borderId="26" xfId="0" applyFont="1" applyFill="1" applyBorder="1"/>
    <xf numFmtId="164" fontId="5" fillId="3" borderId="18" xfId="1" applyNumberFormat="1" applyFont="1" applyFill="1" applyBorder="1" applyAlignment="1">
      <alignment horizontal="center"/>
    </xf>
    <xf numFmtId="0" fontId="2" fillId="5" borderId="30" xfId="0" applyFont="1" applyFill="1" applyBorder="1" applyAlignment="1">
      <alignment horizontal="left"/>
    </xf>
    <xf numFmtId="0" fontId="2" fillId="5" borderId="44" xfId="0" applyFont="1" applyFill="1" applyBorder="1"/>
    <xf numFmtId="0" fontId="2" fillId="5" borderId="6" xfId="0" applyFont="1" applyFill="1" applyBorder="1" applyAlignment="1">
      <alignment horizontal="left"/>
    </xf>
    <xf numFmtId="0" fontId="2" fillId="5" borderId="43" xfId="0" applyFont="1" applyFill="1" applyBorder="1"/>
    <xf numFmtId="0" fontId="8" fillId="7" borderId="5" xfId="0" applyFont="1" applyFill="1" applyBorder="1" applyAlignment="1">
      <alignment horizontal="center"/>
    </xf>
    <xf numFmtId="0" fontId="8" fillId="7" borderId="0" xfId="0" applyFont="1" applyFill="1" applyAlignment="1">
      <alignment horizontal="center"/>
    </xf>
    <xf numFmtId="43" fontId="5" fillId="3" borderId="0" xfId="0" applyNumberFormat="1" applyFont="1" applyFill="1" applyAlignment="1">
      <alignment horizontal="right"/>
    </xf>
    <xf numFmtId="0" fontId="5" fillId="3" borderId="1" xfId="0" applyFont="1" applyFill="1" applyBorder="1"/>
    <xf numFmtId="0" fontId="0" fillId="5" borderId="23" xfId="0" applyFill="1" applyBorder="1" applyAlignment="1">
      <alignment horizontal="left" indent="1"/>
    </xf>
    <xf numFmtId="0" fontId="2" fillId="5" borderId="19" xfId="0" applyFont="1" applyFill="1" applyBorder="1" applyAlignment="1">
      <alignment horizontal="right"/>
    </xf>
    <xf numFmtId="0" fontId="2" fillId="5" borderId="0" xfId="0" applyFont="1" applyFill="1" applyAlignment="1">
      <alignment horizontal="right"/>
    </xf>
    <xf numFmtId="0" fontId="5" fillId="3" borderId="0" xfId="0" applyFont="1" applyFill="1" applyAlignment="1">
      <alignment horizontal="right"/>
    </xf>
    <xf numFmtId="0" fontId="2" fillId="3" borderId="1" xfId="0" applyFont="1" applyFill="1" applyBorder="1" applyAlignment="1">
      <alignment horizontal="right"/>
    </xf>
    <xf numFmtId="0" fontId="2" fillId="5" borderId="18" xfId="0" applyFont="1" applyFill="1" applyBorder="1" applyAlignment="1">
      <alignment horizontal="right"/>
    </xf>
    <xf numFmtId="43" fontId="5" fillId="3" borderId="19" xfId="0" applyNumberFormat="1" applyFont="1" applyFill="1" applyBorder="1" applyAlignment="1">
      <alignment horizontal="right"/>
    </xf>
    <xf numFmtId="0" fontId="2" fillId="3" borderId="29" xfId="0" applyFont="1" applyFill="1" applyBorder="1" applyAlignment="1">
      <alignment horizontal="right"/>
    </xf>
    <xf numFmtId="0" fontId="2" fillId="5" borderId="7" xfId="0" applyFont="1" applyFill="1" applyBorder="1" applyAlignment="1">
      <alignment horizontal="right"/>
    </xf>
    <xf numFmtId="0" fontId="2" fillId="5" borderId="12" xfId="0" applyFont="1" applyFill="1" applyBorder="1" applyAlignment="1">
      <alignment horizontal="left" vertical="center"/>
    </xf>
    <xf numFmtId="164" fontId="5" fillId="3" borderId="18" xfId="1" applyNumberFormat="1" applyFont="1" applyFill="1" applyBorder="1" applyAlignment="1">
      <alignment horizontal="right"/>
    </xf>
    <xf numFmtId="164" fontId="7" fillId="0" borderId="0" xfId="1" applyNumberFormat="1" applyFont="1" applyFill="1" applyBorder="1" applyAlignment="1">
      <alignment horizontal="right"/>
    </xf>
    <xf numFmtId="164" fontId="5" fillId="3" borderId="42" xfId="1" applyNumberFormat="1" applyFont="1" applyFill="1" applyBorder="1" applyAlignment="1">
      <alignment horizontal="center"/>
    </xf>
    <xf numFmtId="164" fontId="5" fillId="3" borderId="26" xfId="1" applyNumberFormat="1" applyFont="1" applyFill="1" applyBorder="1" applyAlignment="1">
      <alignment horizontal="right"/>
    </xf>
    <xf numFmtId="0" fontId="0" fillId="3" borderId="39" xfId="0" applyFill="1" applyBorder="1"/>
    <xf numFmtId="164" fontId="5" fillId="0" borderId="42" xfId="1" applyNumberFormat="1" applyFont="1" applyFill="1" applyBorder="1" applyAlignment="1">
      <alignment horizontal="right"/>
    </xf>
    <xf numFmtId="164" fontId="5" fillId="0" borderId="26" xfId="1" applyNumberFormat="1" applyFont="1" applyFill="1" applyBorder="1" applyAlignment="1">
      <alignment horizontal="right"/>
    </xf>
    <xf numFmtId="164" fontId="5" fillId="0" borderId="42" xfId="1" applyNumberFormat="1" applyFont="1" applyFill="1" applyBorder="1" applyAlignment="1"/>
    <xf numFmtId="164" fontId="5" fillId="0" borderId="26" xfId="1" applyNumberFormat="1" applyFont="1" applyFill="1" applyBorder="1" applyAlignment="1"/>
    <xf numFmtId="164" fontId="5" fillId="0" borderId="0" xfId="1" applyNumberFormat="1" applyFont="1" applyFill="1" applyBorder="1" applyAlignment="1"/>
    <xf numFmtId="0" fontId="2" fillId="5" borderId="33" xfId="0" applyFont="1" applyFill="1" applyBorder="1" applyAlignment="1">
      <alignment horizontal="left"/>
    </xf>
    <xf numFmtId="0" fontId="2" fillId="7" borderId="6" xfId="0" applyFont="1" applyFill="1" applyBorder="1" applyAlignment="1">
      <alignment horizontal="left"/>
    </xf>
    <xf numFmtId="0" fontId="0" fillId="7" borderId="7" xfId="0" applyFill="1" applyBorder="1"/>
    <xf numFmtId="0" fontId="0" fillId="7" borderId="43" xfId="0" applyFill="1" applyBorder="1"/>
    <xf numFmtId="0" fontId="8" fillId="5" borderId="28" xfId="0" applyFont="1" applyFill="1" applyBorder="1" applyAlignment="1">
      <alignment horizontal="center"/>
    </xf>
    <xf numFmtId="0" fontId="8" fillId="5" borderId="44" xfId="0" applyFont="1" applyFill="1" applyBorder="1" applyAlignment="1">
      <alignment horizontal="center"/>
    </xf>
    <xf numFmtId="0" fontId="8" fillId="5" borderId="18" xfId="0" applyFont="1" applyFill="1" applyBorder="1" applyAlignment="1">
      <alignment horizontal="center"/>
    </xf>
    <xf numFmtId="0" fontId="8" fillId="5" borderId="26" xfId="0" applyFont="1" applyFill="1" applyBorder="1" applyAlignment="1">
      <alignment horizontal="center"/>
    </xf>
    <xf numFmtId="0" fontId="8" fillId="5" borderId="32" xfId="0" applyFont="1" applyFill="1" applyBorder="1" applyAlignment="1">
      <alignment horizontal="center"/>
    </xf>
    <xf numFmtId="0" fontId="8" fillId="5" borderId="47" xfId="0" applyFont="1" applyFill="1" applyBorder="1" applyAlignment="1">
      <alignment horizontal="center"/>
    </xf>
    <xf numFmtId="0" fontId="2" fillId="3" borderId="0" xfId="0" applyFont="1" applyFill="1" applyAlignment="1">
      <alignment horizontal="left"/>
    </xf>
    <xf numFmtId="0" fontId="8" fillId="3" borderId="0" xfId="0" applyFont="1" applyFill="1" applyAlignment="1">
      <alignment horizontal="center"/>
    </xf>
    <xf numFmtId="0" fontId="15" fillId="3" borderId="0" xfId="0" applyFont="1" applyFill="1" applyAlignment="1">
      <alignment horizontal="right"/>
    </xf>
    <xf numFmtId="0" fontId="8" fillId="5" borderId="13" xfId="0" applyFont="1" applyFill="1" applyBorder="1" applyAlignment="1">
      <alignment horizontal="center"/>
    </xf>
    <xf numFmtId="0" fontId="2" fillId="5" borderId="44" xfId="0" applyFont="1" applyFill="1" applyBorder="1" applyAlignment="1">
      <alignment horizontal="center"/>
    </xf>
    <xf numFmtId="168" fontId="7" fillId="3" borderId="0" xfId="0" applyNumberFormat="1" applyFont="1" applyFill="1"/>
    <xf numFmtId="168" fontId="7" fillId="3" borderId="1" xfId="0" applyNumberFormat="1" applyFont="1" applyFill="1" applyBorder="1"/>
    <xf numFmtId="0" fontId="5" fillId="3" borderId="26" xfId="0" applyFont="1" applyFill="1" applyBorder="1" applyAlignment="1">
      <alignment horizontal="center"/>
    </xf>
    <xf numFmtId="168" fontId="7" fillId="3" borderId="39" xfId="0" applyNumberFormat="1" applyFont="1" applyFill="1" applyBorder="1"/>
    <xf numFmtId="0" fontId="2" fillId="5" borderId="28" xfId="0" applyFont="1" applyFill="1" applyBorder="1" applyAlignment="1">
      <alignment horizontal="center"/>
    </xf>
    <xf numFmtId="0" fontId="6" fillId="5" borderId="19" xfId="0" applyFont="1" applyFill="1" applyBorder="1"/>
    <xf numFmtId="0" fontId="6" fillId="5" borderId="0" xfId="0" applyFont="1" applyFill="1"/>
    <xf numFmtId="0" fontId="6" fillId="5" borderId="24" xfId="0" applyFont="1" applyFill="1" applyBorder="1"/>
    <xf numFmtId="0" fontId="8" fillId="5" borderId="19" xfId="0" applyFont="1" applyFill="1" applyBorder="1" applyAlignment="1">
      <alignment horizontal="center"/>
    </xf>
    <xf numFmtId="0" fontId="8" fillId="5" borderId="24" xfId="0" applyFont="1" applyFill="1" applyBorder="1" applyAlignment="1">
      <alignment horizontal="center"/>
    </xf>
    <xf numFmtId="10" fontId="0" fillId="2" borderId="0" xfId="0" applyNumberFormat="1" applyFill="1"/>
    <xf numFmtId="0" fontId="8" fillId="5" borderId="7" xfId="0" applyFont="1" applyFill="1" applyBorder="1" applyAlignment="1">
      <alignment horizontal="center"/>
    </xf>
    <xf numFmtId="0" fontId="8" fillId="5" borderId="43" xfId="0" applyFont="1" applyFill="1" applyBorder="1" applyAlignment="1">
      <alignment horizontal="center"/>
    </xf>
    <xf numFmtId="0" fontId="0" fillId="3" borderId="6" xfId="0" applyFill="1" applyBorder="1"/>
    <xf numFmtId="0" fontId="0" fillId="3" borderId="9" xfId="0" applyFill="1" applyBorder="1"/>
    <xf numFmtId="0" fontId="0" fillId="3" borderId="11" xfId="0" applyFill="1" applyBorder="1"/>
    <xf numFmtId="0" fontId="2" fillId="2" borderId="0" xfId="0" applyFont="1" applyFill="1"/>
    <xf numFmtId="168" fontId="0" fillId="2" borderId="0" xfId="0" applyNumberFormat="1" applyFill="1"/>
    <xf numFmtId="169" fontId="0" fillId="2" borderId="0" xfId="1" applyNumberFormat="1" applyFont="1" applyFill="1"/>
    <xf numFmtId="0" fontId="2" fillId="5" borderId="46" xfId="0" applyFont="1" applyFill="1" applyBorder="1"/>
    <xf numFmtId="16" fontId="0" fillId="2" borderId="0" xfId="0" applyNumberFormat="1" applyFill="1"/>
    <xf numFmtId="0" fontId="2" fillId="5" borderId="5" xfId="0" applyFont="1" applyFill="1" applyBorder="1" applyAlignment="1">
      <alignment horizontal="left" vertical="center"/>
    </xf>
    <xf numFmtId="0" fontId="0" fillId="5" borderId="19" xfId="0" applyFill="1" applyBorder="1" applyAlignment="1">
      <alignment horizontal="center"/>
    </xf>
    <xf numFmtId="0" fontId="0" fillId="5" borderId="24" xfId="0" applyFill="1" applyBorder="1" applyAlignment="1">
      <alignment horizontal="center"/>
    </xf>
    <xf numFmtId="0" fontId="0" fillId="5" borderId="0" xfId="0" applyFill="1" applyAlignment="1">
      <alignment horizontal="center"/>
    </xf>
    <xf numFmtId="0" fontId="0" fillId="5" borderId="5" xfId="0" applyFill="1" applyBorder="1" applyAlignment="1">
      <alignment horizontal="left"/>
    </xf>
    <xf numFmtId="164" fontId="6" fillId="3" borderId="1" xfId="1" applyNumberFormat="1" applyFont="1" applyFill="1" applyBorder="1" applyAlignment="1">
      <alignment horizontal="center"/>
    </xf>
    <xf numFmtId="0" fontId="0" fillId="3" borderId="54" xfId="0" applyFill="1" applyBorder="1"/>
    <xf numFmtId="164" fontId="6" fillId="3" borderId="39" xfId="1" applyNumberFormat="1" applyFont="1" applyFill="1" applyBorder="1" applyAlignment="1">
      <alignment horizontal="center"/>
    </xf>
    <xf numFmtId="0" fontId="0" fillId="5" borderId="42" xfId="0" applyFill="1" applyBorder="1" applyAlignment="1">
      <alignment horizontal="center"/>
    </xf>
    <xf numFmtId="164" fontId="0" fillId="3" borderId="1" xfId="1" applyNumberFormat="1" applyFont="1" applyFill="1" applyBorder="1" applyAlignment="1">
      <alignment horizontal="center"/>
    </xf>
    <xf numFmtId="0" fontId="0" fillId="5" borderId="18" xfId="0" applyFill="1" applyBorder="1" applyAlignment="1">
      <alignment horizontal="center"/>
    </xf>
    <xf numFmtId="0" fontId="0" fillId="5" borderId="26" xfId="0" applyFill="1" applyBorder="1" applyAlignment="1">
      <alignment horizontal="center"/>
    </xf>
    <xf numFmtId="164" fontId="6" fillId="0" borderId="1" xfId="1" applyNumberFormat="1" applyFont="1" applyFill="1" applyBorder="1" applyAlignment="1">
      <alignment horizontal="center"/>
    </xf>
    <xf numFmtId="9" fontId="0" fillId="2" borderId="0" xfId="2" applyFont="1" applyFill="1"/>
    <xf numFmtId="0" fontId="0" fillId="5" borderId="28" xfId="0" applyFill="1" applyBorder="1" applyAlignment="1">
      <alignment horizontal="center"/>
    </xf>
    <xf numFmtId="0" fontId="0" fillId="5" borderId="44" xfId="0" applyFill="1" applyBorder="1" applyAlignment="1">
      <alignment horizontal="center"/>
    </xf>
    <xf numFmtId="164" fontId="7" fillId="3" borderId="1" xfId="1" applyNumberFormat="1" applyFont="1" applyFill="1" applyBorder="1" applyAlignment="1">
      <alignment horizontal="right"/>
    </xf>
    <xf numFmtId="164" fontId="0" fillId="5" borderId="5" xfId="1" applyNumberFormat="1" applyFont="1" applyFill="1" applyBorder="1" applyAlignment="1">
      <alignment horizontal="left" indent="1"/>
    </xf>
    <xf numFmtId="164" fontId="0" fillId="5" borderId="17" xfId="1" applyNumberFormat="1" applyFont="1" applyFill="1" applyBorder="1" applyAlignment="1">
      <alignment horizontal="left" indent="1"/>
    </xf>
    <xf numFmtId="164" fontId="7" fillId="3" borderId="39" xfId="1" applyNumberFormat="1" applyFont="1" applyFill="1" applyBorder="1" applyAlignment="1">
      <alignment horizontal="right"/>
    </xf>
    <xf numFmtId="0" fontId="2" fillId="5" borderId="32" xfId="0" applyFont="1" applyFill="1" applyBorder="1" applyAlignment="1">
      <alignment horizontal="center"/>
    </xf>
    <xf numFmtId="0" fontId="2" fillId="5" borderId="47" xfId="0" applyFont="1" applyFill="1" applyBorder="1" applyAlignment="1">
      <alignment horizontal="center"/>
    </xf>
    <xf numFmtId="0" fontId="0" fillId="3" borderId="0" xfId="0" applyFill="1" applyAlignment="1">
      <alignment horizontal="center"/>
    </xf>
    <xf numFmtId="0" fontId="8" fillId="5" borderId="30" xfId="0" applyFont="1" applyFill="1" applyBorder="1" applyAlignment="1">
      <alignment horizontal="left"/>
    </xf>
    <xf numFmtId="0" fontId="2" fillId="5" borderId="19" xfId="0" applyFont="1" applyFill="1" applyBorder="1" applyAlignment="1">
      <alignment horizontal="center"/>
    </xf>
    <xf numFmtId="0" fontId="2" fillId="5" borderId="0" xfId="0" applyFont="1" applyFill="1" applyAlignment="1">
      <alignment horizontal="center"/>
    </xf>
    <xf numFmtId="164" fontId="6" fillId="3" borderId="42" xfId="1" applyNumberFormat="1" applyFont="1" applyFill="1" applyBorder="1" applyAlignment="1">
      <alignment horizontal="center"/>
    </xf>
    <xf numFmtId="0" fontId="16" fillId="5" borderId="5" xfId="0" applyFont="1" applyFill="1" applyBorder="1" applyAlignment="1">
      <alignment horizontal="left" indent="1"/>
    </xf>
    <xf numFmtId="0" fontId="16" fillId="5" borderId="17" xfId="0" applyFont="1" applyFill="1" applyBorder="1" applyAlignment="1">
      <alignment horizontal="left" indent="1"/>
    </xf>
    <xf numFmtId="0" fontId="2" fillId="5" borderId="18" xfId="0" applyFont="1" applyFill="1" applyBorder="1" applyAlignment="1">
      <alignment horizontal="center"/>
    </xf>
    <xf numFmtId="164" fontId="6" fillId="3" borderId="26" xfId="1" applyNumberFormat="1" applyFont="1" applyFill="1" applyBorder="1" applyAlignment="1">
      <alignment horizontal="center"/>
    </xf>
    <xf numFmtId="0" fontId="17" fillId="5" borderId="23" xfId="0" applyFont="1" applyFill="1" applyBorder="1" applyAlignment="1">
      <alignment horizontal="left"/>
    </xf>
    <xf numFmtId="0" fontId="2" fillId="5" borderId="7" xfId="0" applyFont="1" applyFill="1" applyBorder="1" applyAlignment="1">
      <alignment horizontal="center"/>
    </xf>
    <xf numFmtId="0" fontId="0" fillId="5" borderId="30" xfId="0" applyFill="1" applyBorder="1" applyAlignment="1">
      <alignment horizontal="center"/>
    </xf>
    <xf numFmtId="0" fontId="2" fillId="5" borderId="25" xfId="0" applyFont="1" applyFill="1" applyBorder="1" applyAlignment="1">
      <alignment horizontal="left"/>
    </xf>
    <xf numFmtId="0" fontId="0" fillId="5" borderId="40" xfId="0" applyFill="1" applyBorder="1" applyAlignment="1">
      <alignment horizontal="left"/>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14" fontId="5" fillId="3" borderId="14" xfId="0" applyNumberFormat="1" applyFont="1" applyFill="1" applyBorder="1" applyAlignment="1">
      <alignment horizontal="right" wrapText="1"/>
    </xf>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14" fontId="5" fillId="3" borderId="20" xfId="0" applyNumberFormat="1" applyFont="1" applyFill="1" applyBorder="1" applyAlignment="1">
      <alignment horizontal="right" wrapText="1"/>
    </xf>
    <xf numFmtId="14" fontId="5" fillId="3" borderId="21" xfId="0" applyNumberFormat="1" applyFont="1" applyFill="1" applyBorder="1" applyAlignment="1">
      <alignment horizontal="right" wrapText="1"/>
    </xf>
    <xf numFmtId="14" fontId="5" fillId="3" borderId="22" xfId="0" applyNumberFormat="1" applyFont="1" applyFill="1" applyBorder="1" applyAlignment="1">
      <alignment horizontal="right" wrapText="1"/>
    </xf>
    <xf numFmtId="0" fontId="2" fillId="5" borderId="23" xfId="0" applyFont="1" applyFill="1" applyBorder="1" applyAlignment="1">
      <alignment horizontal="left" vertical="center"/>
    </xf>
    <xf numFmtId="0" fontId="2" fillId="5" borderId="19" xfId="0" applyFont="1" applyFill="1" applyBorder="1" applyAlignment="1">
      <alignment horizontal="left" vertical="center"/>
    </xf>
    <xf numFmtId="0" fontId="2" fillId="5" borderId="24" xfId="0" applyFont="1" applyFill="1" applyBorder="1" applyAlignment="1">
      <alignment horizontal="left" vertical="center"/>
    </xf>
    <xf numFmtId="0" fontId="2" fillId="5" borderId="17" xfId="0" applyFont="1" applyFill="1" applyBorder="1" applyAlignment="1">
      <alignment horizontal="left" vertical="center"/>
    </xf>
    <xf numFmtId="0" fontId="2" fillId="5" borderId="18" xfId="0" applyFont="1" applyFill="1" applyBorder="1" applyAlignment="1">
      <alignment horizontal="left" vertical="center"/>
    </xf>
    <xf numFmtId="0" fontId="2" fillId="5" borderId="26" xfId="0" applyFont="1" applyFill="1" applyBorder="1" applyAlignment="1">
      <alignment horizontal="left" vertical="center"/>
    </xf>
    <xf numFmtId="164" fontId="5" fillId="3" borderId="20" xfId="1" applyNumberFormat="1" applyFont="1" applyFill="1" applyBorder="1" applyAlignment="1">
      <alignment horizontal="right"/>
    </xf>
    <xf numFmtId="164" fontId="5" fillId="3" borderId="21" xfId="1" applyNumberFormat="1" applyFont="1" applyFill="1" applyBorder="1" applyAlignment="1">
      <alignment horizontal="right"/>
    </xf>
    <xf numFmtId="164" fontId="5" fillId="3" borderId="22" xfId="1" applyNumberFormat="1" applyFont="1" applyFill="1" applyBorder="1" applyAlignment="1">
      <alignment horizontal="right"/>
    </xf>
    <xf numFmtId="43" fontId="5" fillId="3" borderId="20" xfId="1" applyFont="1" applyFill="1" applyBorder="1" applyAlignment="1">
      <alignment horizontal="center"/>
    </xf>
    <xf numFmtId="43" fontId="5" fillId="3" borderId="21" xfId="1" applyFont="1" applyFill="1" applyBorder="1" applyAlignment="1">
      <alignment horizontal="center"/>
    </xf>
    <xf numFmtId="43" fontId="5" fillId="3" borderId="22" xfId="1" applyFont="1" applyFill="1" applyBorder="1" applyAlignment="1">
      <alignment horizontal="center"/>
    </xf>
    <xf numFmtId="43" fontId="5" fillId="3" borderId="20" xfId="1" applyFont="1" applyFill="1" applyBorder="1" applyAlignment="1">
      <alignment horizontal="right"/>
    </xf>
    <xf numFmtId="43" fontId="5" fillId="3" borderId="21" xfId="1" applyFont="1" applyFill="1" applyBorder="1" applyAlignment="1">
      <alignment horizontal="right"/>
    </xf>
    <xf numFmtId="43" fontId="5" fillId="3" borderId="22" xfId="1" applyFont="1" applyFill="1" applyBorder="1" applyAlignment="1">
      <alignment horizontal="right"/>
    </xf>
    <xf numFmtId="0" fontId="0" fillId="3" borderId="33" xfId="0" applyFill="1" applyBorder="1" applyAlignment="1">
      <alignment horizontal="right"/>
    </xf>
    <xf numFmtId="0" fontId="0" fillId="3" borderId="32" xfId="0" applyFill="1" applyBorder="1" applyAlignment="1">
      <alignment horizontal="right"/>
    </xf>
    <xf numFmtId="0" fontId="0" fillId="3" borderId="34" xfId="0" applyFill="1" applyBorder="1" applyAlignment="1">
      <alignment horizontal="right"/>
    </xf>
    <xf numFmtId="0" fontId="8" fillId="6" borderId="9" xfId="0" applyFont="1" applyFill="1" applyBorder="1" applyAlignment="1">
      <alignment horizontal="center"/>
    </xf>
    <xf numFmtId="0" fontId="8" fillId="6" borderId="10" xfId="0" applyFont="1" applyFill="1" applyBorder="1" applyAlignment="1">
      <alignment horizontal="center"/>
    </xf>
    <xf numFmtId="0" fontId="8" fillId="6" borderId="11" xfId="0" applyFont="1" applyFill="1" applyBorder="1" applyAlignment="1">
      <alignment horizontal="center"/>
    </xf>
    <xf numFmtId="0" fontId="2" fillId="7" borderId="9" xfId="0" applyFont="1" applyFill="1" applyBorder="1" applyAlignment="1">
      <alignment horizontal="center"/>
    </xf>
    <xf numFmtId="0" fontId="2" fillId="7" borderId="10" xfId="0" applyFont="1" applyFill="1" applyBorder="1" applyAlignment="1">
      <alignment horizontal="center"/>
    </xf>
    <xf numFmtId="0" fontId="2" fillId="7" borderId="11" xfId="0" applyFont="1" applyFill="1" applyBorder="1" applyAlignment="1">
      <alignment horizontal="center"/>
    </xf>
    <xf numFmtId="164" fontId="5" fillId="3" borderId="23" xfId="1" applyNumberFormat="1" applyFont="1" applyFill="1" applyBorder="1" applyAlignment="1">
      <alignment horizontal="right" wrapText="1"/>
    </xf>
    <xf numFmtId="164" fontId="5" fillId="3" borderId="19" xfId="1" applyNumberFormat="1" applyFont="1" applyFill="1" applyBorder="1" applyAlignment="1">
      <alignment horizontal="right" wrapText="1"/>
    </xf>
    <xf numFmtId="164" fontId="5" fillId="3" borderId="29" xfId="1" applyNumberFormat="1" applyFont="1" applyFill="1" applyBorder="1" applyAlignment="1">
      <alignment horizontal="right" wrapText="1"/>
    </xf>
    <xf numFmtId="164" fontId="7" fillId="3" borderId="40" xfId="0" applyNumberFormat="1" applyFont="1" applyFill="1" applyBorder="1" applyAlignment="1">
      <alignment horizontal="center"/>
    </xf>
    <xf numFmtId="164" fontId="7" fillId="3" borderId="0" xfId="0" applyNumberFormat="1" applyFont="1" applyFill="1" applyAlignment="1">
      <alignment horizontal="center"/>
    </xf>
    <xf numFmtId="164" fontId="7" fillId="3" borderId="1" xfId="0" applyNumberFormat="1" applyFont="1" applyFill="1" applyBorder="1" applyAlignment="1">
      <alignment horizontal="center"/>
    </xf>
    <xf numFmtId="164" fontId="7" fillId="0" borderId="27" xfId="1" applyNumberFormat="1" applyFont="1" applyFill="1" applyBorder="1" applyAlignment="1">
      <alignment horizontal="center"/>
    </xf>
    <xf numFmtId="164" fontId="7" fillId="0" borderId="19" xfId="1" applyNumberFormat="1" applyFont="1" applyFill="1" applyBorder="1" applyAlignment="1">
      <alignment horizontal="center"/>
    </xf>
    <xf numFmtId="164" fontId="7" fillId="0" borderId="29" xfId="1" applyNumberFormat="1" applyFont="1" applyFill="1" applyBorder="1" applyAlignment="1">
      <alignment horizontal="center"/>
    </xf>
    <xf numFmtId="164" fontId="5" fillId="3" borderId="40" xfId="1" applyNumberFormat="1" applyFont="1" applyFill="1" applyBorder="1" applyAlignment="1">
      <alignment horizontal="center"/>
    </xf>
    <xf numFmtId="164" fontId="5" fillId="3" borderId="0" xfId="1" applyNumberFormat="1" applyFont="1" applyFill="1" applyBorder="1" applyAlignment="1">
      <alignment horizontal="center"/>
    </xf>
    <xf numFmtId="164" fontId="5" fillId="0" borderId="31" xfId="1" applyNumberFormat="1" applyFont="1" applyFill="1" applyBorder="1" applyAlignment="1">
      <alignment horizontal="center"/>
    </xf>
    <xf numFmtId="164" fontId="5" fillId="0" borderId="18" xfId="1" applyNumberFormat="1" applyFont="1" applyFill="1" applyBorder="1" applyAlignment="1">
      <alignment horizontal="center"/>
    </xf>
    <xf numFmtId="164" fontId="7" fillId="3" borderId="27" xfId="1" applyNumberFormat="1" applyFont="1" applyFill="1" applyBorder="1" applyAlignment="1">
      <alignment horizontal="center"/>
    </xf>
    <xf numFmtId="164" fontId="7" fillId="3" borderId="19" xfId="1" applyNumberFormat="1" applyFont="1" applyFill="1" applyBorder="1" applyAlignment="1">
      <alignment horizontal="center"/>
    </xf>
    <xf numFmtId="164" fontId="7" fillId="3" borderId="29" xfId="1" applyNumberFormat="1" applyFont="1" applyFill="1" applyBorder="1" applyAlignment="1">
      <alignment horizontal="center"/>
    </xf>
    <xf numFmtId="164" fontId="7" fillId="3" borderId="31" xfId="1" applyNumberFormat="1" applyFont="1" applyFill="1" applyBorder="1" applyAlignment="1">
      <alignment horizontal="center"/>
    </xf>
    <xf numFmtId="164" fontId="7" fillId="3" borderId="18" xfId="1" applyNumberFormat="1" applyFont="1" applyFill="1" applyBorder="1" applyAlignment="1">
      <alignment horizontal="center"/>
    </xf>
    <xf numFmtId="164" fontId="7" fillId="3" borderId="39" xfId="1" applyNumberFormat="1" applyFont="1" applyFill="1" applyBorder="1" applyAlignment="1">
      <alignment horizontal="center"/>
    </xf>
    <xf numFmtId="164" fontId="7" fillId="3" borderId="25" xfId="1" applyNumberFormat="1" applyFont="1" applyFill="1" applyBorder="1" applyAlignment="1">
      <alignment horizontal="center"/>
    </xf>
    <xf numFmtId="164" fontId="7" fillId="3" borderId="28" xfId="1" applyNumberFormat="1" applyFont="1" applyFill="1" applyBorder="1" applyAlignment="1">
      <alignment horizontal="center"/>
    </xf>
    <xf numFmtId="164" fontId="7" fillId="3" borderId="36" xfId="1" applyNumberFormat="1" applyFont="1" applyFill="1" applyBorder="1" applyAlignment="1">
      <alignment horizontal="center"/>
    </xf>
    <xf numFmtId="164" fontId="7" fillId="3" borderId="27" xfId="0" applyNumberFormat="1" applyFont="1" applyFill="1" applyBorder="1" applyAlignment="1">
      <alignment horizontal="center"/>
    </xf>
    <xf numFmtId="164" fontId="7" fillId="3" borderId="19" xfId="0" applyNumberFormat="1" applyFont="1" applyFill="1" applyBorder="1" applyAlignment="1">
      <alignment horizontal="center"/>
    </xf>
    <xf numFmtId="164" fontId="7" fillId="3" borderId="29" xfId="0" applyNumberFormat="1" applyFont="1" applyFill="1" applyBorder="1" applyAlignment="1">
      <alignment horizontal="center"/>
    </xf>
    <xf numFmtId="164" fontId="5" fillId="0" borderId="41" xfId="1" applyNumberFormat="1" applyFont="1" applyFill="1" applyBorder="1" applyAlignment="1">
      <alignment horizontal="center"/>
    </xf>
    <xf numFmtId="164" fontId="5" fillId="0" borderId="7" xfId="1" applyNumberFormat="1" applyFont="1" applyFill="1" applyBorder="1" applyAlignment="1">
      <alignment horizontal="center"/>
    </xf>
    <xf numFmtId="164" fontId="7" fillId="0" borderId="40" xfId="0" applyNumberFormat="1" applyFont="1" applyBorder="1" applyAlignment="1">
      <alignment horizontal="center"/>
    </xf>
    <xf numFmtId="164" fontId="7" fillId="0" borderId="0" xfId="0" applyNumberFormat="1" applyFont="1" applyAlignment="1">
      <alignment horizontal="center"/>
    </xf>
    <xf numFmtId="164" fontId="7" fillId="0" borderId="1" xfId="0" applyNumberFormat="1" applyFont="1" applyBorder="1" applyAlignment="1">
      <alignment horizontal="center"/>
    </xf>
    <xf numFmtId="164" fontId="7" fillId="3" borderId="40" xfId="1" applyNumberFormat="1" applyFont="1" applyFill="1" applyBorder="1" applyAlignment="1">
      <alignment horizontal="center"/>
    </xf>
    <xf numFmtId="164" fontId="7" fillId="3" borderId="0" xfId="1" applyNumberFormat="1" applyFont="1" applyFill="1" applyBorder="1" applyAlignment="1">
      <alignment horizontal="center"/>
    </xf>
    <xf numFmtId="164" fontId="5" fillId="0" borderId="40" xfId="1" applyNumberFormat="1" applyFont="1" applyFill="1" applyBorder="1" applyAlignment="1">
      <alignment horizontal="center"/>
    </xf>
    <xf numFmtId="164" fontId="5" fillId="0" borderId="0" xfId="1" applyNumberFormat="1" applyFont="1" applyFill="1" applyBorder="1" applyAlignment="1">
      <alignment horizontal="center"/>
    </xf>
    <xf numFmtId="164" fontId="5" fillId="3" borderId="41" xfId="1" applyNumberFormat="1" applyFont="1" applyFill="1" applyBorder="1" applyAlignment="1">
      <alignment horizontal="center"/>
    </xf>
    <xf numFmtId="164" fontId="5" fillId="3" borderId="7" xfId="1" applyNumberFormat="1" applyFont="1" applyFill="1" applyBorder="1" applyAlignment="1">
      <alignment horizontal="center"/>
    </xf>
    <xf numFmtId="43" fontId="5" fillId="3" borderId="25" xfId="1" applyFont="1" applyFill="1" applyBorder="1" applyAlignment="1">
      <alignment horizontal="center"/>
    </xf>
    <xf numFmtId="43" fontId="5" fillId="3" borderId="28" xfId="1" applyFont="1" applyFill="1" applyBorder="1" applyAlignment="1">
      <alignment horizontal="center"/>
    </xf>
    <xf numFmtId="43" fontId="5" fillId="3" borderId="44" xfId="1" applyFont="1" applyFill="1" applyBorder="1" applyAlignment="1">
      <alignment horizontal="center"/>
    </xf>
    <xf numFmtId="43" fontId="5" fillId="3" borderId="36" xfId="1" applyFont="1" applyFill="1" applyBorder="1" applyAlignment="1">
      <alignment horizontal="center"/>
    </xf>
    <xf numFmtId="43" fontId="5" fillId="3" borderId="38" xfId="1" applyFont="1" applyFill="1" applyBorder="1" applyAlignment="1">
      <alignment horizontal="center"/>
    </xf>
    <xf numFmtId="43" fontId="5" fillId="3" borderId="32" xfId="1" applyFont="1" applyFill="1" applyBorder="1" applyAlignment="1">
      <alignment horizontal="center"/>
    </xf>
    <xf numFmtId="43" fontId="5" fillId="3" borderId="47" xfId="1" applyFont="1" applyFill="1" applyBorder="1" applyAlignment="1">
      <alignment horizontal="center"/>
    </xf>
    <xf numFmtId="43" fontId="5" fillId="3" borderId="34" xfId="1" applyFont="1" applyFill="1" applyBorder="1" applyAlignment="1">
      <alignment horizontal="center"/>
    </xf>
    <xf numFmtId="164" fontId="5" fillId="3" borderId="31" xfId="1" applyNumberFormat="1" applyFont="1" applyFill="1" applyBorder="1" applyAlignment="1">
      <alignment horizontal="center"/>
    </xf>
    <xf numFmtId="164" fontId="5" fillId="3" borderId="18" xfId="1" applyNumberFormat="1" applyFont="1" applyFill="1" applyBorder="1" applyAlignment="1">
      <alignment horizontal="center"/>
    </xf>
    <xf numFmtId="164" fontId="5" fillId="3" borderId="39" xfId="1" applyNumberFormat="1" applyFont="1" applyFill="1" applyBorder="1" applyAlignment="1">
      <alignment horizontal="center"/>
    </xf>
    <xf numFmtId="164" fontId="5" fillId="0" borderId="25" xfId="1" applyNumberFormat="1" applyFont="1" applyBorder="1" applyAlignment="1">
      <alignment horizontal="center"/>
    </xf>
    <xf numFmtId="164" fontId="5" fillId="0" borderId="28" xfId="1" applyNumberFormat="1" applyFont="1" applyBorder="1" applyAlignment="1">
      <alignment horizontal="center"/>
    </xf>
    <xf numFmtId="164" fontId="5" fillId="0" borderId="36" xfId="1" applyNumberFormat="1" applyFont="1" applyBorder="1" applyAlignment="1">
      <alignment horizontal="center"/>
    </xf>
    <xf numFmtId="164" fontId="5" fillId="3" borderId="38" xfId="1" applyNumberFormat="1" applyFont="1" applyFill="1" applyBorder="1" applyAlignment="1">
      <alignment horizontal="center"/>
    </xf>
    <xf numFmtId="164" fontId="5" fillId="3" borderId="32" xfId="1" applyNumberFormat="1" applyFont="1" applyFill="1" applyBorder="1" applyAlignment="1">
      <alignment horizontal="center"/>
    </xf>
    <xf numFmtId="164" fontId="5" fillId="3" borderId="34" xfId="1" applyNumberFormat="1" applyFont="1" applyFill="1" applyBorder="1" applyAlignment="1">
      <alignment horizontal="center"/>
    </xf>
    <xf numFmtId="0" fontId="2" fillId="7" borderId="45" xfId="0" applyFont="1" applyFill="1" applyBorder="1" applyAlignment="1">
      <alignment horizontal="center"/>
    </xf>
    <xf numFmtId="0" fontId="2" fillId="7" borderId="13" xfId="0" applyFont="1" applyFill="1" applyBorder="1" applyAlignment="1">
      <alignment horizontal="center"/>
    </xf>
    <xf numFmtId="0" fontId="2" fillId="7" borderId="46" xfId="0" applyFont="1" applyFill="1" applyBorder="1" applyAlignment="1">
      <alignment horizontal="center"/>
    </xf>
    <xf numFmtId="0" fontId="2" fillId="7" borderId="31" xfId="0" applyFont="1" applyFill="1" applyBorder="1" applyAlignment="1">
      <alignment horizontal="center"/>
    </xf>
    <xf numFmtId="0" fontId="2" fillId="7" borderId="18" xfId="0" applyFont="1" applyFill="1" applyBorder="1" applyAlignment="1">
      <alignment horizontal="center"/>
    </xf>
    <xf numFmtId="0" fontId="2" fillId="7" borderId="26" xfId="0" applyFont="1" applyFill="1" applyBorder="1" applyAlignment="1">
      <alignment horizontal="center"/>
    </xf>
    <xf numFmtId="0" fontId="2" fillId="7" borderId="39" xfId="0" applyFont="1" applyFill="1" applyBorder="1" applyAlignment="1">
      <alignment horizontal="center"/>
    </xf>
    <xf numFmtId="0" fontId="5" fillId="3" borderId="40" xfId="0" applyFont="1" applyFill="1" applyBorder="1" applyAlignment="1">
      <alignment horizontal="right"/>
    </xf>
    <xf numFmtId="0" fontId="5" fillId="3" borderId="0" xfId="0" applyFont="1" applyFill="1" applyAlignment="1">
      <alignment horizontal="right"/>
    </xf>
    <xf numFmtId="43" fontId="5" fillId="3" borderId="40" xfId="0" applyNumberFormat="1" applyFont="1" applyFill="1" applyBorder="1" applyAlignment="1">
      <alignment horizontal="right"/>
    </xf>
    <xf numFmtId="43" fontId="5" fillId="3" borderId="0" xfId="0" applyNumberFormat="1" applyFont="1" applyFill="1" applyAlignment="1">
      <alignment horizontal="right"/>
    </xf>
    <xf numFmtId="0" fontId="13" fillId="3" borderId="31" xfId="0" applyFont="1" applyFill="1" applyBorder="1" applyAlignment="1">
      <alignment horizontal="right"/>
    </xf>
    <xf numFmtId="0" fontId="13" fillId="3" borderId="18" xfId="0" applyFont="1" applyFill="1" applyBorder="1" applyAlignment="1">
      <alignment horizontal="right"/>
    </xf>
    <xf numFmtId="0" fontId="13" fillId="3" borderId="39" xfId="0" applyFont="1" applyFill="1" applyBorder="1" applyAlignment="1">
      <alignment horizontal="right"/>
    </xf>
    <xf numFmtId="0" fontId="5" fillId="3" borderId="27" xfId="0" applyFont="1" applyFill="1" applyBorder="1" applyAlignment="1">
      <alignment horizontal="right"/>
    </xf>
    <xf numFmtId="0" fontId="5" fillId="3" borderId="19" xfId="0" applyFont="1" applyFill="1" applyBorder="1" applyAlignment="1">
      <alignment horizontal="right"/>
    </xf>
    <xf numFmtId="164" fontId="7" fillId="3" borderId="25" xfId="1" applyNumberFormat="1" applyFont="1" applyFill="1" applyBorder="1" applyAlignment="1">
      <alignment horizontal="right"/>
    </xf>
    <xf numFmtId="164" fontId="7" fillId="3" borderId="28" xfId="1" applyNumberFormat="1" applyFont="1" applyFill="1" applyBorder="1" applyAlignment="1">
      <alignment horizontal="right"/>
    </xf>
    <xf numFmtId="164" fontId="7" fillId="3" borderId="44" xfId="1" applyNumberFormat="1" applyFont="1" applyFill="1" applyBorder="1" applyAlignment="1">
      <alignment horizontal="right"/>
    </xf>
    <xf numFmtId="164" fontId="5" fillId="0" borderId="25" xfId="1" applyNumberFormat="1" applyFont="1" applyFill="1" applyBorder="1" applyAlignment="1">
      <alignment horizontal="center"/>
    </xf>
    <xf numFmtId="164" fontId="5" fillId="0" borderId="28" xfId="1" applyNumberFormat="1" applyFont="1" applyFill="1" applyBorder="1" applyAlignment="1">
      <alignment horizontal="center"/>
    </xf>
    <xf numFmtId="164" fontId="5" fillId="0" borderId="44" xfId="1" applyNumberFormat="1" applyFont="1" applyFill="1" applyBorder="1" applyAlignment="1">
      <alignment horizontal="center"/>
    </xf>
    <xf numFmtId="164" fontId="5" fillId="3" borderId="49" xfId="1" applyNumberFormat="1" applyFont="1" applyFill="1" applyBorder="1" applyAlignment="1">
      <alignment horizontal="center"/>
    </xf>
    <xf numFmtId="164" fontId="5" fillId="3" borderId="50" xfId="1" applyNumberFormat="1" applyFont="1" applyFill="1" applyBorder="1" applyAlignment="1">
      <alignment horizontal="center"/>
    </xf>
    <xf numFmtId="164" fontId="5" fillId="3" borderId="27" xfId="1" applyNumberFormat="1" applyFont="1" applyFill="1" applyBorder="1" applyAlignment="1">
      <alignment horizontal="right"/>
    </xf>
    <xf numFmtId="164" fontId="5" fillId="3" borderId="19" xfId="1" applyNumberFormat="1" applyFont="1" applyFill="1" applyBorder="1" applyAlignment="1">
      <alignment horizontal="right"/>
    </xf>
    <xf numFmtId="164" fontId="5" fillId="3" borderId="24" xfId="1" applyNumberFormat="1" applyFont="1" applyFill="1" applyBorder="1" applyAlignment="1">
      <alignment horizontal="right"/>
    </xf>
    <xf numFmtId="164" fontId="5" fillId="3" borderId="27" xfId="1" applyNumberFormat="1" applyFont="1" applyFill="1" applyBorder="1" applyAlignment="1">
      <alignment horizontal="center"/>
    </xf>
    <xf numFmtId="164" fontId="5" fillId="3" borderId="19" xfId="1" applyNumberFormat="1" applyFont="1" applyFill="1" applyBorder="1" applyAlignment="1">
      <alignment horizontal="center"/>
    </xf>
    <xf numFmtId="164" fontId="5" fillId="3" borderId="29" xfId="1" applyNumberFormat="1" applyFont="1" applyFill="1" applyBorder="1" applyAlignment="1">
      <alignment horizontal="center"/>
    </xf>
    <xf numFmtId="43" fontId="5" fillId="3" borderId="27" xfId="0" applyNumberFormat="1" applyFont="1" applyFill="1" applyBorder="1" applyAlignment="1">
      <alignment horizontal="right"/>
    </xf>
    <xf numFmtId="43" fontId="5" fillId="3" borderId="19" xfId="0" applyNumberFormat="1" applyFont="1" applyFill="1" applyBorder="1" applyAlignment="1">
      <alignment horizontal="right"/>
    </xf>
    <xf numFmtId="0" fontId="13" fillId="3" borderId="41" xfId="0" applyFont="1" applyFill="1" applyBorder="1" applyAlignment="1">
      <alignment horizontal="right"/>
    </xf>
    <xf numFmtId="0" fontId="13" fillId="3" borderId="7" xfId="0" applyFont="1" applyFill="1" applyBorder="1" applyAlignment="1">
      <alignment horizontal="right"/>
    </xf>
    <xf numFmtId="0" fontId="13" fillId="3" borderId="8" xfId="0" applyFont="1" applyFill="1" applyBorder="1" applyAlignment="1">
      <alignment horizontal="right"/>
    </xf>
    <xf numFmtId="0" fontId="2" fillId="5" borderId="12" xfId="0" applyFont="1" applyFill="1" applyBorder="1" applyAlignment="1">
      <alignment horizontal="left" vertical="center"/>
    </xf>
    <xf numFmtId="0" fontId="2" fillId="5" borderId="13" xfId="0" applyFont="1" applyFill="1" applyBorder="1" applyAlignment="1">
      <alignment horizontal="left" vertical="center"/>
    </xf>
    <xf numFmtId="0" fontId="2" fillId="5" borderId="46" xfId="0" applyFont="1" applyFill="1" applyBorder="1" applyAlignment="1">
      <alignment horizontal="left" vertical="center"/>
    </xf>
    <xf numFmtId="0" fontId="2" fillId="5" borderId="45"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46" xfId="0" applyFont="1" applyFill="1" applyBorder="1" applyAlignment="1">
      <alignment horizontal="center" vertical="center"/>
    </xf>
    <xf numFmtId="0" fontId="2" fillId="5" borderId="45"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46" xfId="0" applyFont="1" applyFill="1" applyBorder="1" applyAlignment="1">
      <alignment horizontal="center" vertical="center" wrapText="1"/>
    </xf>
    <xf numFmtId="0" fontId="2" fillId="5" borderId="48"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164" fontId="5" fillId="3" borderId="40" xfId="1" applyNumberFormat="1" applyFont="1" applyFill="1" applyBorder="1" applyAlignment="1">
      <alignment horizontal="right"/>
    </xf>
    <xf numFmtId="164" fontId="5" fillId="3" borderId="0" xfId="1" applyNumberFormat="1" applyFont="1" applyFill="1" applyBorder="1" applyAlignment="1">
      <alignment horizontal="right"/>
    </xf>
    <xf numFmtId="164" fontId="5" fillId="3" borderId="31" xfId="1" applyNumberFormat="1" applyFont="1" applyFill="1" applyBorder="1" applyAlignment="1">
      <alignment horizontal="right"/>
    </xf>
    <xf numFmtId="164" fontId="5" fillId="3" borderId="18" xfId="1" applyNumberFormat="1" applyFont="1" applyFill="1" applyBorder="1" applyAlignment="1">
      <alignment horizontal="right"/>
    </xf>
    <xf numFmtId="164" fontId="7" fillId="0" borderId="40" xfId="1" applyNumberFormat="1" applyFont="1" applyFill="1" applyBorder="1" applyAlignment="1">
      <alignment horizontal="right"/>
    </xf>
    <xf numFmtId="164" fontId="7" fillId="0" borderId="0" xfId="1" applyNumberFormat="1" applyFont="1" applyFill="1" applyBorder="1" applyAlignment="1">
      <alignment horizontal="right"/>
    </xf>
    <xf numFmtId="164" fontId="5" fillId="0" borderId="31" xfId="1" applyNumberFormat="1" applyFont="1" applyFill="1" applyBorder="1" applyAlignment="1">
      <alignment horizontal="right"/>
    </xf>
    <xf numFmtId="164" fontId="5" fillId="0" borderId="18" xfId="1" applyNumberFormat="1" applyFont="1" applyFill="1" applyBorder="1" applyAlignment="1">
      <alignment horizontal="right"/>
    </xf>
    <xf numFmtId="164" fontId="5" fillId="3" borderId="25" xfId="1" applyNumberFormat="1" applyFont="1" applyFill="1" applyBorder="1" applyAlignment="1">
      <alignment horizontal="right"/>
    </xf>
    <xf numFmtId="164" fontId="5" fillId="3" borderId="28" xfId="1" applyNumberFormat="1" applyFont="1" applyFill="1" applyBorder="1" applyAlignment="1">
      <alignment horizontal="right"/>
    </xf>
    <xf numFmtId="164" fontId="5" fillId="3" borderId="44" xfId="1" applyNumberFormat="1" applyFont="1" applyFill="1" applyBorder="1" applyAlignment="1">
      <alignment horizontal="right"/>
    </xf>
    <xf numFmtId="164" fontId="5" fillId="3" borderId="25" xfId="1" applyNumberFormat="1" applyFont="1" applyFill="1" applyBorder="1" applyAlignment="1">
      <alignment horizontal="center"/>
    </xf>
    <xf numFmtId="164" fontId="5" fillId="3" borderId="28" xfId="1" applyNumberFormat="1" applyFont="1" applyFill="1" applyBorder="1" applyAlignment="1">
      <alignment horizontal="center"/>
    </xf>
    <xf numFmtId="164" fontId="5" fillId="3" borderId="44" xfId="1" applyNumberFormat="1" applyFont="1" applyFill="1" applyBorder="1" applyAlignment="1">
      <alignment horizontal="center"/>
    </xf>
    <xf numFmtId="164" fontId="7" fillId="0" borderId="31" xfId="1" applyNumberFormat="1" applyFont="1" applyFill="1" applyBorder="1" applyAlignment="1">
      <alignment horizontal="right"/>
    </xf>
    <xf numFmtId="164" fontId="7" fillId="0" borderId="18" xfId="1" applyNumberFormat="1" applyFont="1" applyFill="1" applyBorder="1" applyAlignment="1">
      <alignment horizontal="right"/>
    </xf>
    <xf numFmtId="164" fontId="5" fillId="3" borderId="36" xfId="1" applyNumberFormat="1" applyFont="1" applyFill="1" applyBorder="1" applyAlignment="1">
      <alignment horizontal="center"/>
    </xf>
    <xf numFmtId="164" fontId="5" fillId="0" borderId="40" xfId="1" applyNumberFormat="1" applyFont="1" applyFill="1" applyBorder="1" applyAlignment="1">
      <alignment horizontal="right"/>
    </xf>
    <xf numFmtId="164" fontId="5" fillId="0" borderId="0" xfId="1" applyNumberFormat="1" applyFont="1" applyFill="1" applyBorder="1" applyAlignment="1">
      <alignment horizontal="right"/>
    </xf>
    <xf numFmtId="164" fontId="5" fillId="0" borderId="25" xfId="1" applyNumberFormat="1" applyFont="1" applyFill="1" applyBorder="1" applyAlignment="1">
      <alignment horizontal="right"/>
    </xf>
    <xf numFmtId="164" fontId="5" fillId="0" borderId="28" xfId="1" applyNumberFormat="1" applyFont="1" applyFill="1" applyBorder="1" applyAlignment="1">
      <alignment horizontal="right"/>
    </xf>
    <xf numFmtId="164" fontId="5" fillId="0" borderId="44" xfId="1" applyNumberFormat="1" applyFont="1" applyFill="1" applyBorder="1" applyAlignment="1">
      <alignment horizontal="right"/>
    </xf>
    <xf numFmtId="164" fontId="5" fillId="0" borderId="27" xfId="1" applyNumberFormat="1" applyFont="1" applyFill="1" applyBorder="1" applyAlignment="1">
      <alignment horizontal="right"/>
    </xf>
    <xf numFmtId="164" fontId="5" fillId="0" borderId="19" xfId="1" applyNumberFormat="1" applyFont="1" applyFill="1" applyBorder="1" applyAlignment="1">
      <alignment horizontal="right"/>
    </xf>
    <xf numFmtId="164" fontId="5" fillId="0" borderId="24" xfId="1" applyNumberFormat="1" applyFont="1" applyFill="1" applyBorder="1" applyAlignment="1">
      <alignment horizontal="right"/>
    </xf>
    <xf numFmtId="164" fontId="5" fillId="3" borderId="24" xfId="1" applyNumberFormat="1" applyFont="1" applyFill="1" applyBorder="1" applyAlignment="1">
      <alignment horizontal="center"/>
    </xf>
    <xf numFmtId="164" fontId="5" fillId="3" borderId="1" xfId="1" applyNumberFormat="1" applyFont="1" applyFill="1" applyBorder="1" applyAlignment="1">
      <alignment horizontal="right"/>
    </xf>
    <xf numFmtId="164" fontId="5" fillId="0" borderId="27" xfId="1" applyNumberFormat="1" applyFont="1" applyFill="1" applyBorder="1" applyAlignment="1">
      <alignment horizontal="center"/>
    </xf>
    <xf numFmtId="164" fontId="5" fillId="0" borderId="19" xfId="1" applyNumberFormat="1" applyFont="1" applyFill="1" applyBorder="1" applyAlignment="1">
      <alignment horizontal="center"/>
    </xf>
    <xf numFmtId="164" fontId="5" fillId="0" borderId="24" xfId="1" applyNumberFormat="1" applyFont="1" applyFill="1" applyBorder="1" applyAlignment="1">
      <alignment horizontal="center"/>
    </xf>
    <xf numFmtId="164" fontId="5" fillId="0" borderId="29" xfId="1" applyNumberFormat="1" applyFont="1" applyFill="1" applyBorder="1" applyAlignment="1">
      <alignment horizontal="center"/>
    </xf>
    <xf numFmtId="164" fontId="14" fillId="7" borderId="41" xfId="1" applyNumberFormat="1" applyFont="1" applyFill="1" applyBorder="1" applyAlignment="1">
      <alignment horizontal="right"/>
    </xf>
    <xf numFmtId="164" fontId="14" fillId="7" borderId="7" xfId="1" applyNumberFormat="1" applyFont="1" applyFill="1" applyBorder="1" applyAlignment="1">
      <alignment horizontal="right"/>
    </xf>
    <xf numFmtId="164" fontId="14" fillId="7" borderId="43" xfId="1" applyNumberFormat="1" applyFont="1" applyFill="1" applyBorder="1" applyAlignment="1">
      <alignment horizontal="right"/>
    </xf>
    <xf numFmtId="164" fontId="14" fillId="7" borderId="8" xfId="1" applyNumberFormat="1" applyFont="1" applyFill="1" applyBorder="1" applyAlignment="1">
      <alignment horizontal="right"/>
    </xf>
    <xf numFmtId="0" fontId="8" fillId="6" borderId="2" xfId="0" applyFont="1" applyFill="1" applyBorder="1" applyAlignment="1">
      <alignment horizontal="center"/>
    </xf>
    <xf numFmtId="0" fontId="8" fillId="6" borderId="3" xfId="0" applyFont="1" applyFill="1" applyBorder="1" applyAlignment="1">
      <alignment horizontal="center"/>
    </xf>
    <xf numFmtId="0" fontId="8" fillId="6" borderId="4" xfId="0" applyFont="1" applyFill="1" applyBorder="1" applyAlignment="1">
      <alignment horizontal="center"/>
    </xf>
    <xf numFmtId="164" fontId="5" fillId="3" borderId="21" xfId="1" applyNumberFormat="1" applyFont="1" applyFill="1" applyBorder="1" applyAlignment="1">
      <alignment horizontal="center"/>
    </xf>
    <xf numFmtId="164" fontId="5" fillId="3" borderId="22" xfId="1" applyNumberFormat="1" applyFont="1" applyFill="1" applyBorder="1" applyAlignment="1">
      <alignment horizontal="center"/>
    </xf>
    <xf numFmtId="164" fontId="5" fillId="0" borderId="38" xfId="1" applyNumberFormat="1" applyFont="1" applyFill="1" applyBorder="1" applyAlignment="1">
      <alignment horizontal="right"/>
    </xf>
    <xf numFmtId="164" fontId="5" fillId="0" borderId="32" xfId="1" applyNumberFormat="1" applyFont="1" applyFill="1" applyBorder="1" applyAlignment="1">
      <alignment horizontal="right"/>
    </xf>
    <xf numFmtId="164" fontId="5" fillId="0" borderId="47" xfId="1" applyNumberFormat="1" applyFont="1" applyFill="1" applyBorder="1" applyAlignment="1">
      <alignment horizontal="right"/>
    </xf>
    <xf numFmtId="164" fontId="5" fillId="0" borderId="38" xfId="1" applyNumberFormat="1" applyFont="1" applyFill="1" applyBorder="1" applyAlignment="1">
      <alignment horizontal="center"/>
    </xf>
    <xf numFmtId="164" fontId="5" fillId="0" borderId="32" xfId="1" applyNumberFormat="1" applyFont="1" applyFill="1" applyBorder="1" applyAlignment="1">
      <alignment horizontal="center"/>
    </xf>
    <xf numFmtId="164" fontId="5" fillId="0" borderId="47" xfId="1" applyNumberFormat="1" applyFont="1" applyFill="1" applyBorder="1" applyAlignment="1">
      <alignment horizontal="center"/>
    </xf>
    <xf numFmtId="164" fontId="5" fillId="3" borderId="37" xfId="1" applyNumberFormat="1" applyFont="1" applyFill="1" applyBorder="1" applyAlignment="1">
      <alignment horizontal="center"/>
    </xf>
    <xf numFmtId="164" fontId="5" fillId="3" borderId="51" xfId="1" applyNumberFormat="1" applyFont="1" applyFill="1" applyBorder="1" applyAlignment="1">
      <alignment horizontal="center"/>
    </xf>
    <xf numFmtId="164" fontId="5" fillId="3" borderId="52" xfId="1" applyNumberFormat="1" applyFont="1" applyFill="1" applyBorder="1" applyAlignment="1">
      <alignment horizontal="center"/>
    </xf>
    <xf numFmtId="164" fontId="5" fillId="3" borderId="53" xfId="1" applyNumberFormat="1" applyFont="1" applyFill="1" applyBorder="1" applyAlignment="1">
      <alignment horizontal="center"/>
    </xf>
    <xf numFmtId="14" fontId="5" fillId="3" borderId="25" xfId="0" applyNumberFormat="1" applyFont="1" applyFill="1" applyBorder="1" applyAlignment="1">
      <alignment horizontal="center"/>
    </xf>
    <xf numFmtId="14" fontId="5" fillId="3" borderId="28" xfId="0" applyNumberFormat="1" applyFont="1" applyFill="1" applyBorder="1" applyAlignment="1">
      <alignment horizontal="center"/>
    </xf>
    <xf numFmtId="14" fontId="5" fillId="3" borderId="44" xfId="0" applyNumberFormat="1" applyFont="1" applyFill="1" applyBorder="1" applyAlignment="1">
      <alignment horizontal="center"/>
    </xf>
    <xf numFmtId="10" fontId="5" fillId="3" borderId="25" xfId="0" applyNumberFormat="1" applyFont="1" applyFill="1" applyBorder="1" applyAlignment="1">
      <alignment horizontal="center"/>
    </xf>
    <xf numFmtId="10" fontId="5" fillId="3" borderId="44" xfId="0" applyNumberFormat="1" applyFont="1" applyFill="1" applyBorder="1" applyAlignment="1">
      <alignment horizontal="center"/>
    </xf>
    <xf numFmtId="168" fontId="7" fillId="3" borderId="21" xfId="0" applyNumberFormat="1" applyFont="1" applyFill="1" applyBorder="1" applyAlignment="1">
      <alignment horizontal="center"/>
    </xf>
    <xf numFmtId="168" fontId="7" fillId="3" borderId="22" xfId="0" applyNumberFormat="1" applyFont="1" applyFill="1" applyBorder="1" applyAlignment="1">
      <alignment horizontal="center"/>
    </xf>
    <xf numFmtId="0" fontId="2" fillId="8" borderId="27" xfId="0" applyFont="1" applyFill="1" applyBorder="1" applyAlignment="1">
      <alignment horizontal="center"/>
    </xf>
    <xf numFmtId="0" fontId="2" fillId="8" borderId="19" xfId="0" applyFont="1" applyFill="1" applyBorder="1" applyAlignment="1">
      <alignment horizontal="center"/>
    </xf>
    <xf numFmtId="0" fontId="2" fillId="8" borderId="24" xfId="0" applyFont="1" applyFill="1" applyBorder="1" applyAlignment="1">
      <alignment horizontal="center"/>
    </xf>
    <xf numFmtId="0" fontId="6" fillId="8" borderId="19" xfId="0" applyFont="1" applyFill="1" applyBorder="1" applyAlignment="1">
      <alignment horizontal="center"/>
    </xf>
    <xf numFmtId="0" fontId="6" fillId="8" borderId="24" xfId="0" applyFont="1" applyFill="1" applyBorder="1" applyAlignment="1">
      <alignment horizontal="center"/>
    </xf>
    <xf numFmtId="168" fontId="7" fillId="8" borderId="27" xfId="1" applyNumberFormat="1" applyFont="1" applyFill="1" applyBorder="1" applyAlignment="1">
      <alignment horizontal="center"/>
    </xf>
    <xf numFmtId="168" fontId="7" fillId="8" borderId="19" xfId="1" applyNumberFormat="1" applyFont="1" applyFill="1" applyBorder="1" applyAlignment="1">
      <alignment horizontal="center"/>
    </xf>
    <xf numFmtId="168" fontId="7" fillId="8" borderId="49" xfId="0" applyNumberFormat="1" applyFont="1" applyFill="1" applyBorder="1" applyAlignment="1">
      <alignment horizontal="center"/>
    </xf>
    <xf numFmtId="168" fontId="7" fillId="8" borderId="50" xfId="0" applyNumberFormat="1" applyFont="1" applyFill="1" applyBorder="1" applyAlignment="1">
      <alignment horizontal="center"/>
    </xf>
    <xf numFmtId="10" fontId="7" fillId="3" borderId="48" xfId="0" applyNumberFormat="1" applyFont="1" applyFill="1" applyBorder="1" applyAlignment="1">
      <alignment horizontal="center" vertical="center"/>
    </xf>
    <xf numFmtId="10" fontId="7" fillId="3" borderId="3" xfId="0" applyNumberFormat="1" applyFont="1" applyFill="1" applyBorder="1" applyAlignment="1">
      <alignment horizontal="center" vertical="center"/>
    </xf>
    <xf numFmtId="10" fontId="7" fillId="3" borderId="4" xfId="0" applyNumberFormat="1" applyFont="1" applyFill="1" applyBorder="1" applyAlignment="1">
      <alignment horizontal="center" vertical="center"/>
    </xf>
    <xf numFmtId="0" fontId="2" fillId="5" borderId="25" xfId="0" applyFont="1" applyFill="1" applyBorder="1" applyAlignment="1">
      <alignment horizontal="center" vertical="center"/>
    </xf>
    <xf numFmtId="0" fontId="2" fillId="5" borderId="28" xfId="0" applyFont="1" applyFill="1" applyBorder="1" applyAlignment="1">
      <alignment horizontal="center" vertical="center"/>
    </xf>
    <xf numFmtId="0" fontId="2" fillId="5" borderId="44" xfId="0" applyFont="1" applyFill="1" applyBorder="1" applyAlignment="1">
      <alignment horizontal="center" vertical="center"/>
    </xf>
    <xf numFmtId="0" fontId="2" fillId="5" borderId="25" xfId="0" applyFont="1" applyFill="1" applyBorder="1" applyAlignment="1">
      <alignment horizontal="center"/>
    </xf>
    <xf numFmtId="0" fontId="2" fillId="5" borderId="44" xfId="0" applyFont="1" applyFill="1" applyBorder="1" applyAlignment="1">
      <alignment horizontal="center"/>
    </xf>
    <xf numFmtId="0" fontId="2" fillId="5" borderId="21" xfId="0" applyFont="1" applyFill="1" applyBorder="1" applyAlignment="1">
      <alignment horizontal="center"/>
    </xf>
    <xf numFmtId="0" fontId="2" fillId="5" borderId="22" xfId="0" applyFont="1" applyFill="1" applyBorder="1" applyAlignment="1">
      <alignment horizontal="center"/>
    </xf>
    <xf numFmtId="0" fontId="2" fillId="5" borderId="28" xfId="0" applyFont="1" applyFill="1" applyBorder="1" applyAlignment="1">
      <alignment horizontal="center"/>
    </xf>
    <xf numFmtId="168" fontId="7" fillId="3" borderId="52" xfId="0" applyNumberFormat="1" applyFont="1" applyFill="1" applyBorder="1" applyAlignment="1">
      <alignment horizontal="center"/>
    </xf>
    <xf numFmtId="168" fontId="7" fillId="3" borderId="53" xfId="0" applyNumberFormat="1" applyFont="1" applyFill="1" applyBorder="1" applyAlignment="1">
      <alignment horizontal="center"/>
    </xf>
    <xf numFmtId="16" fontId="5" fillId="3" borderId="40" xfId="0" applyNumberFormat="1" applyFont="1" applyFill="1" applyBorder="1" applyAlignment="1">
      <alignment horizontal="center"/>
    </xf>
    <xf numFmtId="16" fontId="5" fillId="3" borderId="0" xfId="0" applyNumberFormat="1" applyFont="1" applyFill="1" applyAlignment="1">
      <alignment horizontal="center"/>
    </xf>
    <xf numFmtId="16" fontId="5" fillId="3" borderId="42" xfId="0" applyNumberFormat="1" applyFont="1" applyFill="1" applyBorder="1" applyAlignment="1">
      <alignment horizontal="center"/>
    </xf>
    <xf numFmtId="10" fontId="7" fillId="3" borderId="0" xfId="0" applyNumberFormat="1" applyFont="1" applyFill="1" applyAlignment="1">
      <alignment horizontal="center"/>
    </xf>
    <xf numFmtId="10" fontId="7" fillId="3" borderId="42" xfId="0" applyNumberFormat="1" applyFont="1" applyFill="1" applyBorder="1" applyAlignment="1">
      <alignment horizontal="center"/>
    </xf>
    <xf numFmtId="168" fontId="7" fillId="3" borderId="40" xfId="1" applyNumberFormat="1" applyFont="1" applyFill="1" applyBorder="1" applyAlignment="1">
      <alignment horizontal="center"/>
    </xf>
    <xf numFmtId="168" fontId="7" fillId="3" borderId="0" xfId="1" applyNumberFormat="1" applyFont="1" applyFill="1" applyBorder="1" applyAlignment="1">
      <alignment horizontal="center"/>
    </xf>
    <xf numFmtId="168" fontId="7" fillId="3" borderId="40" xfId="0" applyNumberFormat="1" applyFont="1" applyFill="1" applyBorder="1" applyAlignment="1">
      <alignment horizontal="center"/>
    </xf>
    <xf numFmtId="168" fontId="7" fillId="3" borderId="0" xfId="0" applyNumberFormat="1" applyFont="1" applyFill="1" applyAlignment="1">
      <alignment horizontal="center"/>
    </xf>
    <xf numFmtId="168" fontId="7" fillId="3" borderId="37" xfId="0" applyNumberFormat="1" applyFont="1" applyFill="1" applyBorder="1" applyAlignment="1">
      <alignment horizontal="center"/>
    </xf>
    <xf numFmtId="168" fontId="7" fillId="3" borderId="51" xfId="0" applyNumberFormat="1" applyFont="1" applyFill="1" applyBorder="1" applyAlignment="1">
      <alignment horizontal="center"/>
    </xf>
    <xf numFmtId="16" fontId="5" fillId="3" borderId="31" xfId="0" applyNumberFormat="1" applyFont="1" applyFill="1" applyBorder="1" applyAlignment="1">
      <alignment horizontal="center"/>
    </xf>
    <xf numFmtId="16" fontId="5" fillId="3" borderId="18" xfId="0" applyNumberFormat="1" applyFont="1" applyFill="1" applyBorder="1" applyAlignment="1">
      <alignment horizontal="center"/>
    </xf>
    <xf numFmtId="0" fontId="7" fillId="3" borderId="18" xfId="0" applyFont="1" applyFill="1" applyBorder="1" applyAlignment="1">
      <alignment horizontal="center"/>
    </xf>
    <xf numFmtId="0" fontId="7" fillId="3" borderId="26" xfId="0" applyFont="1" applyFill="1" applyBorder="1" applyAlignment="1">
      <alignment horizontal="center"/>
    </xf>
    <xf numFmtId="168" fontId="7" fillId="3" borderId="31" xfId="0" applyNumberFormat="1" applyFont="1" applyFill="1" applyBorder="1" applyAlignment="1">
      <alignment horizontal="center"/>
    </xf>
    <xf numFmtId="168" fontId="7" fillId="3" borderId="18" xfId="0" applyNumberFormat="1" applyFont="1" applyFill="1" applyBorder="1" applyAlignment="1">
      <alignment horizont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14" fontId="5" fillId="0" borderId="15" xfId="0" applyNumberFormat="1" applyFont="1" applyBorder="1" applyAlignment="1">
      <alignment horizontal="right" wrapText="1"/>
    </xf>
    <xf numFmtId="14" fontId="5" fillId="0" borderId="16" xfId="0" applyNumberFormat="1" applyFont="1" applyBorder="1" applyAlignment="1">
      <alignment horizontal="right" wrapText="1"/>
    </xf>
    <xf numFmtId="0" fontId="2" fillId="5" borderId="42" xfId="0" applyFont="1" applyFill="1" applyBorder="1" applyAlignment="1">
      <alignment horizontal="left" vertical="center"/>
    </xf>
    <xf numFmtId="14" fontId="5" fillId="3" borderId="25" xfId="0" applyNumberFormat="1" applyFont="1" applyFill="1" applyBorder="1" applyAlignment="1">
      <alignment horizontal="right" wrapText="1"/>
    </xf>
    <xf numFmtId="14" fontId="5" fillId="3" borderId="28" xfId="0" applyNumberFormat="1" applyFont="1" applyFill="1" applyBorder="1" applyAlignment="1">
      <alignment horizontal="right" wrapText="1"/>
    </xf>
    <xf numFmtId="14" fontId="5" fillId="3" borderId="36" xfId="0" applyNumberFormat="1" applyFont="1" applyFill="1" applyBorder="1" applyAlignment="1">
      <alignment horizontal="right" wrapText="1"/>
    </xf>
    <xf numFmtId="0" fontId="0" fillId="3" borderId="21" xfId="0" applyFill="1" applyBorder="1" applyAlignment="1">
      <alignment horizontal="right"/>
    </xf>
    <xf numFmtId="0" fontId="0" fillId="3" borderId="22" xfId="0" applyFill="1" applyBorder="1" applyAlignment="1">
      <alignment horizontal="right"/>
    </xf>
    <xf numFmtId="0" fontId="0" fillId="3" borderId="37" xfId="0" applyFill="1" applyBorder="1" applyAlignment="1">
      <alignment horizontal="right"/>
    </xf>
    <xf numFmtId="0" fontId="0" fillId="3" borderId="51" xfId="0" applyFill="1" applyBorder="1" applyAlignment="1">
      <alignment horizontal="right"/>
    </xf>
    <xf numFmtId="0" fontId="8" fillId="6" borderId="12" xfId="0" applyFont="1" applyFill="1" applyBorder="1" applyAlignment="1">
      <alignment horizontal="center"/>
    </xf>
    <xf numFmtId="0" fontId="8" fillId="6" borderId="13" xfId="0" applyFont="1" applyFill="1" applyBorder="1" applyAlignment="1">
      <alignment horizontal="center"/>
    </xf>
    <xf numFmtId="0" fontId="8" fillId="6" borderId="35" xfId="0" applyFont="1" applyFill="1" applyBorder="1" applyAlignment="1">
      <alignment horizontal="center"/>
    </xf>
    <xf numFmtId="164" fontId="5" fillId="3" borderId="21" xfId="1" applyNumberFormat="1" applyFont="1" applyFill="1" applyBorder="1" applyAlignment="1">
      <alignment horizontal="right" wrapText="1"/>
    </xf>
    <xf numFmtId="164" fontId="5" fillId="3" borderId="22" xfId="1" applyNumberFormat="1" applyFont="1" applyFill="1" applyBorder="1" applyAlignment="1">
      <alignment horizontal="right" wrapText="1"/>
    </xf>
    <xf numFmtId="14" fontId="5" fillId="0" borderId="21" xfId="0" applyNumberFormat="1" applyFont="1" applyBorder="1" applyAlignment="1">
      <alignment horizontal="right" wrapText="1"/>
    </xf>
    <xf numFmtId="14" fontId="5" fillId="0" borderId="22" xfId="0" applyNumberFormat="1" applyFont="1" applyBorder="1" applyAlignment="1">
      <alignment horizontal="right" wrapText="1"/>
    </xf>
    <xf numFmtId="165" fontId="5" fillId="3" borderId="21" xfId="0" applyNumberFormat="1" applyFont="1" applyFill="1" applyBorder="1" applyAlignment="1">
      <alignment horizontal="right" wrapText="1"/>
    </xf>
    <xf numFmtId="165" fontId="5" fillId="3" borderId="22" xfId="0" applyNumberFormat="1" applyFont="1" applyFill="1" applyBorder="1" applyAlignment="1">
      <alignment horizontal="right" wrapText="1"/>
    </xf>
    <xf numFmtId="164" fontId="7" fillId="3" borderId="40" xfId="1" applyNumberFormat="1" applyFont="1" applyFill="1" applyBorder="1" applyAlignment="1">
      <alignment horizontal="right"/>
    </xf>
    <xf numFmtId="164" fontId="7" fillId="3" borderId="0" xfId="1" applyNumberFormat="1" applyFont="1" applyFill="1" applyBorder="1" applyAlignment="1">
      <alignment horizontal="right"/>
    </xf>
    <xf numFmtId="0" fontId="2" fillId="7" borderId="30" xfId="0" applyFont="1" applyFill="1" applyBorder="1" applyAlignment="1">
      <alignment horizontal="center"/>
    </xf>
    <xf numFmtId="0" fontId="2" fillId="7" borderId="28" xfId="0" applyFont="1" applyFill="1" applyBorder="1" applyAlignment="1">
      <alignment horizontal="center"/>
    </xf>
    <xf numFmtId="0" fontId="2" fillId="7" borderId="36" xfId="0" applyFont="1" applyFill="1" applyBorder="1" applyAlignment="1">
      <alignment horizontal="center"/>
    </xf>
    <xf numFmtId="164" fontId="7" fillId="3" borderId="27" xfId="1" applyNumberFormat="1" applyFont="1" applyFill="1" applyBorder="1" applyAlignment="1">
      <alignment horizontal="right"/>
    </xf>
    <xf numFmtId="164" fontId="7" fillId="3" borderId="19" xfId="1" applyNumberFormat="1" applyFont="1" applyFill="1" applyBorder="1" applyAlignment="1">
      <alignment horizontal="right"/>
    </xf>
    <xf numFmtId="164" fontId="7" fillId="3" borderId="29" xfId="1" applyNumberFormat="1" applyFont="1" applyFill="1" applyBorder="1" applyAlignment="1">
      <alignment horizontal="right"/>
    </xf>
    <xf numFmtId="164" fontId="7" fillId="0" borderId="19" xfId="1" applyNumberFormat="1" applyFont="1" applyFill="1" applyBorder="1" applyAlignment="1">
      <alignment horizontal="right"/>
    </xf>
    <xf numFmtId="164" fontId="7" fillId="0" borderId="29" xfId="1" applyNumberFormat="1" applyFont="1" applyFill="1" applyBorder="1" applyAlignment="1">
      <alignment horizontal="right"/>
    </xf>
    <xf numFmtId="164" fontId="7" fillId="0" borderId="25" xfId="1" applyNumberFormat="1" applyFont="1" applyFill="1" applyBorder="1" applyAlignment="1">
      <alignment horizontal="right"/>
    </xf>
    <xf numFmtId="164" fontId="7" fillId="0" borderId="28" xfId="1" applyNumberFormat="1" applyFont="1" applyFill="1" applyBorder="1" applyAlignment="1">
      <alignment horizontal="right"/>
    </xf>
    <xf numFmtId="164" fontId="7" fillId="0" borderId="36" xfId="1" applyNumberFormat="1" applyFont="1" applyFill="1" applyBorder="1" applyAlignment="1">
      <alignment horizontal="right"/>
    </xf>
    <xf numFmtId="164" fontId="7" fillId="3" borderId="36" xfId="1" applyNumberFormat="1" applyFont="1" applyFill="1" applyBorder="1" applyAlignment="1">
      <alignment horizontal="right"/>
    </xf>
    <xf numFmtId="164" fontId="7" fillId="0" borderId="40" xfId="1" applyNumberFormat="1" applyFont="1" applyFill="1" applyBorder="1" applyAlignment="1">
      <alignment horizontal="center"/>
    </xf>
    <xf numFmtId="164" fontId="7" fillId="0" borderId="0" xfId="1" applyNumberFormat="1" applyFont="1" applyFill="1" applyBorder="1" applyAlignment="1">
      <alignment horizontal="center"/>
    </xf>
    <xf numFmtId="0" fontId="2" fillId="5" borderId="36" xfId="0" applyFont="1" applyFill="1" applyBorder="1" applyAlignment="1">
      <alignment horizontal="center"/>
    </xf>
    <xf numFmtId="164" fontId="7" fillId="3" borderId="24" xfId="1" applyNumberFormat="1" applyFont="1" applyFill="1" applyBorder="1" applyAlignment="1">
      <alignment horizontal="right"/>
    </xf>
    <xf numFmtId="164" fontId="7" fillId="0" borderId="1" xfId="1" applyNumberFormat="1" applyFont="1" applyFill="1" applyBorder="1" applyAlignment="1">
      <alignment horizontal="right"/>
    </xf>
    <xf numFmtId="164" fontId="7" fillId="0" borderId="31" xfId="1" applyNumberFormat="1" applyFont="1" applyFill="1" applyBorder="1" applyAlignment="1">
      <alignment horizontal="center"/>
    </xf>
    <xf numFmtId="164" fontId="7" fillId="0" borderId="18" xfId="1" applyNumberFormat="1" applyFont="1" applyFill="1" applyBorder="1" applyAlignment="1">
      <alignment horizontal="center"/>
    </xf>
    <xf numFmtId="0" fontId="2" fillId="7" borderId="17" xfId="0" applyFont="1" applyFill="1" applyBorder="1" applyAlignment="1">
      <alignment horizontal="center"/>
    </xf>
    <xf numFmtId="164" fontId="7" fillId="3" borderId="32" xfId="1" applyNumberFormat="1" applyFont="1" applyFill="1" applyBorder="1" applyAlignment="1">
      <alignment horizontal="right"/>
    </xf>
    <xf numFmtId="164" fontId="7" fillId="3" borderId="34" xfId="1" applyNumberFormat="1" applyFont="1" applyFill="1" applyBorder="1" applyAlignment="1">
      <alignment horizontal="right"/>
    </xf>
    <xf numFmtId="164" fontId="7" fillId="3" borderId="31" xfId="1" applyNumberFormat="1" applyFont="1" applyFill="1" applyBorder="1" applyAlignment="1">
      <alignment horizontal="right"/>
    </xf>
    <xf numFmtId="164" fontId="7" fillId="3" borderId="18" xfId="1" applyNumberFormat="1" applyFont="1" applyFill="1" applyBorder="1" applyAlignment="1">
      <alignment horizontal="right"/>
    </xf>
    <xf numFmtId="9" fontId="6" fillId="3" borderId="25" xfId="0" applyNumberFormat="1" applyFont="1" applyFill="1" applyBorder="1" applyAlignment="1">
      <alignment horizontal="center"/>
    </xf>
    <xf numFmtId="0" fontId="6" fillId="3" borderId="28" xfId="0" applyFont="1" applyFill="1" applyBorder="1" applyAlignment="1">
      <alignment horizontal="center"/>
    </xf>
    <xf numFmtId="0" fontId="6" fillId="3" borderId="44" xfId="0" applyFont="1" applyFill="1" applyBorder="1" applyAlignment="1">
      <alignment horizontal="center"/>
    </xf>
    <xf numFmtId="10" fontId="7" fillId="3" borderId="25" xfId="2" applyNumberFormat="1" applyFont="1" applyFill="1" applyBorder="1" applyAlignment="1">
      <alignment horizontal="center"/>
    </xf>
    <xf numFmtId="10" fontId="7" fillId="3" borderId="28" xfId="2" applyNumberFormat="1" applyFont="1" applyFill="1" applyBorder="1" applyAlignment="1">
      <alignment horizontal="center"/>
    </xf>
    <xf numFmtId="10" fontId="7" fillId="3" borderId="44" xfId="2" applyNumberFormat="1" applyFont="1" applyFill="1" applyBorder="1" applyAlignment="1">
      <alignment horizontal="center"/>
    </xf>
    <xf numFmtId="10" fontId="7" fillId="3" borderId="25" xfId="0" applyNumberFormat="1" applyFont="1" applyFill="1" applyBorder="1" applyAlignment="1">
      <alignment horizontal="center"/>
    </xf>
    <xf numFmtId="10" fontId="7" fillId="3" borderId="28" xfId="0" applyNumberFormat="1" applyFont="1" applyFill="1" applyBorder="1" applyAlignment="1">
      <alignment horizontal="center"/>
    </xf>
    <xf numFmtId="10" fontId="7" fillId="3" borderId="36" xfId="0" applyNumberFormat="1" applyFont="1" applyFill="1" applyBorder="1" applyAlignment="1">
      <alignment horizontal="center"/>
    </xf>
    <xf numFmtId="164" fontId="7" fillId="3" borderId="41" xfId="1" applyNumberFormat="1" applyFont="1" applyFill="1" applyBorder="1" applyAlignment="1">
      <alignment horizontal="right"/>
    </xf>
    <xf numFmtId="164" fontId="7" fillId="3" borderId="7" xfId="1" applyNumberFormat="1" applyFont="1" applyFill="1" applyBorder="1" applyAlignment="1">
      <alignment horizontal="right"/>
    </xf>
    <xf numFmtId="164" fontId="7" fillId="3" borderId="43" xfId="1" applyNumberFormat="1" applyFont="1" applyFill="1" applyBorder="1" applyAlignment="1">
      <alignment horizontal="right"/>
    </xf>
    <xf numFmtId="164" fontId="7" fillId="3" borderId="8" xfId="1" applyNumberFormat="1" applyFont="1" applyFill="1" applyBorder="1" applyAlignment="1">
      <alignment horizontal="right"/>
    </xf>
    <xf numFmtId="0" fontId="6" fillId="3" borderId="25" xfId="0" applyFont="1" applyFill="1" applyBorder="1" applyAlignment="1">
      <alignment horizontal="center"/>
    </xf>
    <xf numFmtId="10" fontId="7" fillId="0" borderId="25" xfId="2" applyNumberFormat="1" applyFont="1" applyFill="1" applyBorder="1" applyAlignment="1">
      <alignment horizontal="center"/>
    </xf>
    <xf numFmtId="10" fontId="7" fillId="0" borderId="28" xfId="2" applyNumberFormat="1" applyFont="1" applyFill="1" applyBorder="1" applyAlignment="1">
      <alignment horizontal="center"/>
    </xf>
    <xf numFmtId="10" fontId="7" fillId="0" borderId="36" xfId="2" applyNumberFormat="1" applyFont="1" applyFill="1" applyBorder="1" applyAlignment="1">
      <alignment horizontal="center"/>
    </xf>
    <xf numFmtId="9" fontId="7" fillId="3" borderId="25" xfId="2" applyFont="1" applyFill="1" applyBorder="1" applyAlignment="1">
      <alignment horizontal="center"/>
    </xf>
    <xf numFmtId="9" fontId="7" fillId="3" borderId="28" xfId="2" applyFont="1" applyFill="1" applyBorder="1" applyAlignment="1">
      <alignment horizontal="center"/>
    </xf>
    <xf numFmtId="9" fontId="7" fillId="3" borderId="44" xfId="2" applyFont="1" applyFill="1" applyBorder="1" applyAlignment="1">
      <alignment horizontal="center"/>
    </xf>
    <xf numFmtId="2" fontId="7" fillId="3" borderId="25" xfId="0" applyNumberFormat="1" applyFont="1" applyFill="1" applyBorder="1" applyAlignment="1">
      <alignment horizontal="center"/>
    </xf>
    <xf numFmtId="2" fontId="7" fillId="3" borderId="28" xfId="0" applyNumberFormat="1" applyFont="1" applyFill="1" applyBorder="1" applyAlignment="1">
      <alignment horizontal="center"/>
    </xf>
    <xf numFmtId="2" fontId="7" fillId="3" borderId="36" xfId="0" applyNumberFormat="1" applyFont="1" applyFill="1" applyBorder="1" applyAlignment="1">
      <alignment horizontal="center"/>
    </xf>
    <xf numFmtId="9" fontId="7" fillId="3" borderId="38" xfId="2" applyFont="1" applyFill="1" applyBorder="1" applyAlignment="1">
      <alignment horizontal="center"/>
    </xf>
    <xf numFmtId="9" fontId="7" fillId="3" borderId="32" xfId="2" applyFont="1" applyFill="1" applyBorder="1" applyAlignment="1">
      <alignment horizontal="center"/>
    </xf>
    <xf numFmtId="9" fontId="7" fillId="3" borderId="47" xfId="2" applyFont="1" applyFill="1" applyBorder="1" applyAlignment="1">
      <alignment horizontal="center"/>
    </xf>
    <xf numFmtId="10" fontId="7" fillId="3" borderId="38" xfId="2" applyNumberFormat="1" applyFont="1" applyFill="1" applyBorder="1" applyAlignment="1">
      <alignment horizontal="center"/>
    </xf>
    <xf numFmtId="10" fontId="7" fillId="3" borderId="32" xfId="2" applyNumberFormat="1" applyFont="1" applyFill="1" applyBorder="1" applyAlignment="1">
      <alignment horizontal="center"/>
    </xf>
    <xf numFmtId="10" fontId="7" fillId="3" borderId="47" xfId="2" applyNumberFormat="1" applyFont="1" applyFill="1" applyBorder="1" applyAlignment="1">
      <alignment horizontal="center"/>
    </xf>
    <xf numFmtId="10" fontId="7" fillId="0" borderId="38" xfId="2" applyNumberFormat="1" applyFont="1" applyFill="1" applyBorder="1" applyAlignment="1">
      <alignment horizontal="center"/>
    </xf>
    <xf numFmtId="10" fontId="7" fillId="0" borderId="32" xfId="2" applyNumberFormat="1" applyFont="1" applyFill="1" applyBorder="1" applyAlignment="1">
      <alignment horizontal="center"/>
    </xf>
    <xf numFmtId="10" fontId="7" fillId="0" borderId="34" xfId="2" applyNumberFormat="1" applyFont="1" applyFill="1" applyBorder="1" applyAlignment="1">
      <alignment horizontal="center"/>
    </xf>
    <xf numFmtId="164" fontId="0" fillId="3" borderId="40" xfId="1" applyNumberFormat="1" applyFont="1" applyFill="1" applyBorder="1" applyAlignment="1">
      <alignment horizontal="center"/>
    </xf>
    <xf numFmtId="164" fontId="0" fillId="3" borderId="42" xfId="1" applyNumberFormat="1" applyFont="1" applyFill="1" applyBorder="1" applyAlignment="1">
      <alignment horizontal="center"/>
    </xf>
    <xf numFmtId="9" fontId="0" fillId="3" borderId="40" xfId="2" applyFont="1" applyFill="1" applyBorder="1" applyAlignment="1">
      <alignment horizontal="center"/>
    </xf>
    <xf numFmtId="9" fontId="0" fillId="3" borderId="42" xfId="2" applyFont="1" applyFill="1" applyBorder="1" applyAlignment="1">
      <alignment horizontal="center"/>
    </xf>
    <xf numFmtId="164" fontId="2" fillId="3" borderId="25" xfId="0" applyNumberFormat="1" applyFont="1" applyFill="1" applyBorder="1" applyAlignment="1">
      <alignment horizontal="center"/>
    </xf>
    <xf numFmtId="0" fontId="2" fillId="3" borderId="44" xfId="0" applyFont="1" applyFill="1" applyBorder="1" applyAlignment="1">
      <alignment horizontal="center"/>
    </xf>
    <xf numFmtId="9" fontId="2" fillId="3" borderId="25" xfId="2" applyFont="1" applyFill="1" applyBorder="1" applyAlignment="1">
      <alignment horizontal="center"/>
    </xf>
    <xf numFmtId="9" fontId="2" fillId="3" borderId="44" xfId="2" applyFont="1" applyFill="1" applyBorder="1" applyAlignment="1">
      <alignment horizontal="center"/>
    </xf>
    <xf numFmtId="9" fontId="2" fillId="3" borderId="25" xfId="0" applyNumberFormat="1" applyFont="1" applyFill="1" applyBorder="1" applyAlignment="1">
      <alignment horizontal="center"/>
    </xf>
    <xf numFmtId="164" fontId="0" fillId="3" borderId="27" xfId="1" applyNumberFormat="1" applyFont="1" applyFill="1" applyBorder="1" applyAlignment="1">
      <alignment horizontal="center"/>
    </xf>
    <xf numFmtId="164" fontId="0" fillId="3" borderId="24" xfId="1" applyNumberFormat="1" applyFont="1" applyFill="1" applyBorder="1" applyAlignment="1">
      <alignment horizontal="center"/>
    </xf>
    <xf numFmtId="9" fontId="0" fillId="3" borderId="27" xfId="2" applyFont="1" applyFill="1" applyBorder="1" applyAlignment="1">
      <alignment horizontal="center"/>
    </xf>
    <xf numFmtId="9" fontId="0" fillId="3" borderId="24" xfId="2" applyFont="1" applyFill="1" applyBorder="1" applyAlignment="1">
      <alignment horizontal="center"/>
    </xf>
    <xf numFmtId="0" fontId="2" fillId="5" borderId="19" xfId="0" applyFont="1" applyFill="1" applyBorder="1" applyAlignment="1">
      <alignment horizontal="center"/>
    </xf>
    <xf numFmtId="0" fontId="2" fillId="5" borderId="24" xfId="0" applyFont="1" applyFill="1" applyBorder="1" applyAlignment="1">
      <alignment horizontal="center"/>
    </xf>
    <xf numFmtId="9" fontId="0" fillId="3" borderId="0" xfId="2" applyFont="1" applyFill="1" applyBorder="1" applyAlignment="1">
      <alignment horizontal="center"/>
    </xf>
    <xf numFmtId="164" fontId="0" fillId="3" borderId="31" xfId="1" applyNumberFormat="1" applyFont="1" applyFill="1" applyBorder="1" applyAlignment="1">
      <alignment horizontal="center"/>
    </xf>
    <xf numFmtId="164" fontId="0" fillId="3" borderId="26" xfId="1" applyNumberFormat="1" applyFont="1" applyFill="1" applyBorder="1" applyAlignment="1">
      <alignment horizontal="center"/>
    </xf>
    <xf numFmtId="164" fontId="0" fillId="0" borderId="31" xfId="1" applyNumberFormat="1" applyFont="1" applyFill="1" applyBorder="1" applyAlignment="1">
      <alignment horizontal="center"/>
    </xf>
    <xf numFmtId="164" fontId="0" fillId="0" borderId="26" xfId="1" applyNumberFormat="1" applyFont="1" applyFill="1" applyBorder="1" applyAlignment="1">
      <alignment horizontal="center"/>
    </xf>
    <xf numFmtId="9" fontId="0" fillId="3" borderId="31" xfId="2" applyFont="1" applyFill="1" applyBorder="1" applyAlignment="1">
      <alignment horizontal="center"/>
    </xf>
    <xf numFmtId="9" fontId="0" fillId="3" borderId="26" xfId="2" applyFont="1" applyFill="1" applyBorder="1" applyAlignment="1">
      <alignment horizontal="center"/>
    </xf>
    <xf numFmtId="164" fontId="2" fillId="3" borderId="31" xfId="0" applyNumberFormat="1" applyFont="1" applyFill="1" applyBorder="1" applyAlignment="1">
      <alignment horizontal="center"/>
    </xf>
    <xf numFmtId="0" fontId="2" fillId="3" borderId="26" xfId="0" applyFont="1" applyFill="1" applyBorder="1" applyAlignment="1">
      <alignment horizontal="center"/>
    </xf>
    <xf numFmtId="9" fontId="2" fillId="3" borderId="44" xfId="0" applyNumberFormat="1" applyFont="1" applyFill="1" applyBorder="1" applyAlignment="1">
      <alignment horizontal="center"/>
    </xf>
    <xf numFmtId="164" fontId="2" fillId="0" borderId="25" xfId="1" applyNumberFormat="1" applyFont="1" applyFill="1" applyBorder="1" applyAlignment="1">
      <alignment horizontal="center"/>
    </xf>
    <xf numFmtId="164" fontId="2" fillId="0" borderId="44" xfId="1" applyNumberFormat="1" applyFont="1" applyFill="1" applyBorder="1" applyAlignment="1">
      <alignment horizontal="center"/>
    </xf>
    <xf numFmtId="164" fontId="2" fillId="3" borderId="25" xfId="1" applyNumberFormat="1" applyFont="1" applyFill="1" applyBorder="1" applyAlignment="1">
      <alignment horizontal="center"/>
    </xf>
    <xf numFmtId="164" fontId="2" fillId="3" borderId="44" xfId="1" applyNumberFormat="1" applyFont="1" applyFill="1" applyBorder="1" applyAlignment="1">
      <alignment horizontal="center"/>
    </xf>
    <xf numFmtId="164" fontId="0" fillId="3" borderId="40" xfId="1" applyNumberFormat="1" applyFont="1" applyFill="1" applyBorder="1" applyAlignment="1">
      <alignment horizontal="right"/>
    </xf>
    <xf numFmtId="164" fontId="0" fillId="3" borderId="42" xfId="1" applyNumberFormat="1" applyFont="1" applyFill="1" applyBorder="1" applyAlignment="1">
      <alignment horizontal="right"/>
    </xf>
    <xf numFmtId="164" fontId="0" fillId="3" borderId="27" xfId="1" applyNumberFormat="1" applyFont="1" applyFill="1" applyBorder="1" applyAlignment="1">
      <alignment horizontal="right"/>
    </xf>
    <xf numFmtId="164" fontId="0" fillId="3" borderId="24" xfId="1" applyNumberFormat="1" applyFont="1" applyFill="1" applyBorder="1" applyAlignment="1">
      <alignment horizontal="right"/>
    </xf>
    <xf numFmtId="164" fontId="2" fillId="3" borderId="25" xfId="1" applyNumberFormat="1" applyFont="1" applyFill="1" applyBorder="1" applyAlignment="1">
      <alignment horizontal="right"/>
    </xf>
    <xf numFmtId="164" fontId="2" fillId="3" borderId="44" xfId="1" applyNumberFormat="1" applyFont="1" applyFill="1" applyBorder="1" applyAlignment="1">
      <alignment horizontal="right"/>
    </xf>
    <xf numFmtId="9" fontId="2" fillId="3" borderId="31" xfId="2" applyFont="1" applyFill="1" applyBorder="1" applyAlignment="1">
      <alignment horizontal="center"/>
    </xf>
    <xf numFmtId="9" fontId="2" fillId="3" borderId="26" xfId="2" applyFont="1" applyFill="1" applyBorder="1" applyAlignment="1">
      <alignment horizontal="center"/>
    </xf>
    <xf numFmtId="9" fontId="0" fillId="3" borderId="18" xfId="2" applyFont="1" applyFill="1" applyBorder="1" applyAlignment="1">
      <alignment horizontal="center"/>
    </xf>
    <xf numFmtId="164" fontId="0" fillId="3" borderId="31" xfId="1" applyNumberFormat="1" applyFont="1" applyFill="1" applyBorder="1" applyAlignment="1">
      <alignment horizontal="right"/>
    </xf>
    <xf numFmtId="164" fontId="0" fillId="3" borderId="26" xfId="1" applyNumberFormat="1" applyFont="1" applyFill="1" applyBorder="1" applyAlignment="1">
      <alignment horizontal="right"/>
    </xf>
  </cellXfs>
  <cellStyles count="127">
    <cellStyle name="20% - Accent1" xfId="20" builtinId="30" customBuiltin="1"/>
    <cellStyle name="20% - Accent2" xfId="23" builtinId="34" customBuiltin="1"/>
    <cellStyle name="20% - Accent3" xfId="26" builtinId="38" customBuiltin="1"/>
    <cellStyle name="20% - Accent4" xfId="29" builtinId="42" customBuiltin="1"/>
    <cellStyle name="20% - Accent5" xfId="32" builtinId="46" customBuiltin="1"/>
    <cellStyle name="20% - Accent6" xfId="35" builtinId="50" customBuiltin="1"/>
    <cellStyle name="40% - Accent1" xfId="21" builtinId="31" customBuiltin="1"/>
    <cellStyle name="40% - Accent2" xfId="24" builtinId="35" customBuiltin="1"/>
    <cellStyle name="40% - Accent3" xfId="27" builtinId="39" customBuiltin="1"/>
    <cellStyle name="40% - Accent4" xfId="30" builtinId="43" customBuiltin="1"/>
    <cellStyle name="40% - Accent5" xfId="33" builtinId="47" customBuiltin="1"/>
    <cellStyle name="40% - Accent6" xfId="36" builtinId="51" customBuiltin="1"/>
    <cellStyle name="60% - Accent1 2" xfId="72" xr:uid="{134BCF50-AB0B-466A-9B10-1395626EED85}"/>
    <cellStyle name="60% - Accent1 3" xfId="51" xr:uid="{3DAAFFB7-20BC-4EC0-BA85-51650B447DE4}"/>
    <cellStyle name="60% - Accent2 2" xfId="73" xr:uid="{46A5E320-C812-474A-9711-017D1476B957}"/>
    <cellStyle name="60% - Accent2 3" xfId="52" xr:uid="{8D0D73B3-EEB1-4E0F-8083-064B4D4A1EB9}"/>
    <cellStyle name="60% - Accent3 2" xfId="74" xr:uid="{F27CBE56-4819-4D19-AD6B-063E6FB165A4}"/>
    <cellStyle name="60% - Accent3 3" xfId="53" xr:uid="{756185A7-B1BD-4656-9361-649F91BCEF03}"/>
    <cellStyle name="60% - Accent4 2" xfId="75" xr:uid="{644373D1-7281-4812-8CA6-363C2B023052}"/>
    <cellStyle name="60% - Accent4 3" xfId="54" xr:uid="{2935CB14-6BEE-4760-A336-20B1428BCF20}"/>
    <cellStyle name="60% - Accent5 2" xfId="76" xr:uid="{0D3FDEF8-0943-4AA5-B708-1AB5656D7EE7}"/>
    <cellStyle name="60% - Accent5 3" xfId="55" xr:uid="{BC518582-57CE-4081-8C89-9B1FD919B8A8}"/>
    <cellStyle name="60% - Accent6 2" xfId="77" xr:uid="{3861FAB7-4991-4B63-9C81-2077FBBD088B}"/>
    <cellStyle name="60% - Accent6 3" xfId="56" xr:uid="{FB4A08D7-96A6-4197-939A-DD8A1BB4E269}"/>
    <cellStyle name="Accent1" xfId="19" builtinId="29" customBuiltin="1"/>
    <cellStyle name="Accent2" xfId="22" builtinId="33" customBuiltin="1"/>
    <cellStyle name="Accent3" xfId="25" builtinId="37" customBuiltin="1"/>
    <cellStyle name="Accent4" xfId="28" builtinId="41" customBuiltin="1"/>
    <cellStyle name="Accent5" xfId="31" builtinId="45" customBuiltin="1"/>
    <cellStyle name="Accent6" xfId="34" builtinId="49" customBuiltin="1"/>
    <cellStyle name="Bad" xfId="9" builtinId="27" customBuiltin="1"/>
    <cellStyle name="Calculation" xfId="12" builtinId="22" customBuiltin="1"/>
    <cellStyle name="Check Cell" xfId="14" builtinId="23" customBuiltin="1"/>
    <cellStyle name="Comma" xfId="1" builtinId="3"/>
    <cellStyle name="Comma 2" xfId="39" xr:uid="{5342E212-2174-4FB1-8D1B-096EB0E455E4}"/>
    <cellStyle name="Comma 2 2" xfId="43" xr:uid="{508745BD-64AC-4715-AF10-8B27893AFDF9}"/>
    <cellStyle name="Comma 2 3" xfId="83" xr:uid="{2ED9FE64-6195-4179-886D-92482808579E}"/>
    <cellStyle name="Comma 2 4" xfId="95" xr:uid="{A8DF9959-D09E-48AA-A103-42A991BADEFE}"/>
    <cellStyle name="Comma 2 4 2" xfId="114" xr:uid="{D268CB9F-5096-4733-B7F7-357CA1910FB7}"/>
    <cellStyle name="Comma 3" xfId="42" xr:uid="{BBA220E8-3B53-40BD-ABD0-8CA29882AA39}"/>
    <cellStyle name="Comma 3 2" xfId="46" xr:uid="{B243A48B-A543-4D7C-A78E-F5403DEBE20E}"/>
    <cellStyle name="Comma 3 2 2" xfId="96" xr:uid="{3181A776-DE31-4A52-A49C-025CC0BBF113}"/>
    <cellStyle name="Comma 3 2 2 2" xfId="115" xr:uid="{7F4335DD-D1DB-41C8-AC7E-A5B211C1EC01}"/>
    <cellStyle name="Comma 3 2 3" xfId="108" xr:uid="{F4461AF0-7580-4B28-9386-AB819F29ACB8}"/>
    <cellStyle name="Comma 3 3" xfId="86" xr:uid="{D8215472-67B4-4E7A-A671-2E3B5DF4D81A}"/>
    <cellStyle name="Comma 3 3 2" xfId="110" xr:uid="{276CE87D-6176-4912-B684-F1BF89E24735}"/>
    <cellStyle name="Comma 4" xfId="81" xr:uid="{B1AA775C-6FE1-486A-809B-9DDE3C868CC0}"/>
    <cellStyle name="Comma 4 2" xfId="87" xr:uid="{362DC18D-3E03-432F-BF7D-87140B700B26}"/>
    <cellStyle name="Comma 4 2 2" xfId="111" xr:uid="{230C4A69-35AF-40EC-821F-6B0A622D144C}"/>
    <cellStyle name="Comma 4 3" xfId="109" xr:uid="{254904DF-7AE5-45AA-8C12-2B3E9D4C1341}"/>
    <cellStyle name="Comma 5" xfId="88" xr:uid="{E1EF283B-9E27-4A36-A000-A03C8A80C837}"/>
    <cellStyle name="Comma 5 2" xfId="97" xr:uid="{FEE94F00-5798-4B3B-839E-8C335A5DF26A}"/>
    <cellStyle name="Comma 5 2 2" xfId="116" xr:uid="{EB2389CB-1775-4242-AB03-7757BF738F1A}"/>
    <cellStyle name="Comma 5 3" xfId="101" xr:uid="{A2CC4A2F-B6C7-41C9-A50B-F6AE1260946D}"/>
    <cellStyle name="Comma 5 3 2" xfId="118" xr:uid="{E5EF2381-D8FB-4A2B-A76D-99459159C171}"/>
    <cellStyle name="Comma 5 4" xfId="106" xr:uid="{E2339D35-B79C-4043-851B-38CDC37C2C20}"/>
    <cellStyle name="Comma 5 4 2" xfId="120" xr:uid="{A16B0E51-6593-45CF-9392-AF759E207787}"/>
    <cellStyle name="Comma 5 5" xfId="112" xr:uid="{A6CB5E94-75EE-4B75-A598-9335E044E1D1}"/>
    <cellStyle name="Comma 5 6" xfId="121" xr:uid="{49008703-DC0B-4A0B-A668-8B215681B552}"/>
    <cellStyle name="Comma 5 7" xfId="125" xr:uid="{FADF5E3B-1EA8-487B-97A3-8386A9BC92AD}"/>
    <cellStyle name="Comma 6" xfId="94" xr:uid="{301DB7BD-63C8-4D9B-BD60-9998AA37BD4E}"/>
    <cellStyle name="Comma 6 2" xfId="113" xr:uid="{BF0203F0-9F9D-410F-8CF9-7C5AB6218D65}"/>
    <cellStyle name="Comma 7" xfId="105" xr:uid="{58404225-480D-4BD2-AC95-5C5133490F73}"/>
    <cellStyle name="Comma 7 2" xfId="119" xr:uid="{BEB8E078-0A63-49C7-B9CD-6461BFD93AF5}"/>
    <cellStyle name="Comma 8" xfId="107" xr:uid="{CA461E69-6395-45C3-BB65-D4322EB1B15D}"/>
    <cellStyle name="Comma 9" xfId="37" xr:uid="{C2E5E9A2-976F-4017-AF69-A3CDD389DF05}"/>
    <cellStyle name="DateLong" xfId="40" xr:uid="{E97E2DEB-426F-404F-8C8F-DCA9BA4A7E2C}"/>
    <cellStyle name="DateShort" xfId="59" xr:uid="{311112B6-1EB4-4627-A9FA-5E6E5D454C3B}"/>
    <cellStyle name="Explanatory Text" xfId="17" builtinId="53" customBuiltin="1"/>
    <cellStyle name="Factor" xfId="58" xr:uid="{496F2A1D-905A-4559-999B-9DD341BA81B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0" builtinId="20" customBuiltin="1"/>
    <cellStyle name="Linked Cell" xfId="13" builtinId="24" customBuiltin="1"/>
    <cellStyle name="Neutral 2" xfId="70" xr:uid="{FA322BAC-2C07-4FBB-984F-B4DA90A69C06}"/>
    <cellStyle name="Neutral 3" xfId="49" xr:uid="{FA13B59B-3927-4C01-B3F3-B9D528FFD508}"/>
    <cellStyle name="Normal" xfId="0" builtinId="0"/>
    <cellStyle name="Normal 10" xfId="67" xr:uid="{A116C31A-18D0-4967-85D0-DCAF57BBF104}"/>
    <cellStyle name="Normal 10 2" xfId="102" xr:uid="{116B4677-E30D-496C-8B20-AE612FBA7B4A}"/>
    <cellStyle name="Normal 11" xfId="69" xr:uid="{31AEBA68-33DE-4DCD-B189-D6E87B078E00}"/>
    <cellStyle name="Normal 11 2" xfId="103" xr:uid="{7CFC2074-C966-41DF-9C1B-D8ECB7CA2CDC}"/>
    <cellStyle name="Normal 12" xfId="71" xr:uid="{7273BD0E-6A73-4160-8D6D-0C653375FCDE}"/>
    <cellStyle name="Normal 12 2" xfId="104" xr:uid="{0E58815D-FBCF-4775-9018-F24460314278}"/>
    <cellStyle name="Normal 13" xfId="48" xr:uid="{A4A3BCFF-FCEB-4325-8100-6EBA3536C2D6}"/>
    <cellStyle name="Normal 13 2" xfId="122" xr:uid="{0F9F547F-D202-43D7-955B-48FE4F71B6D7}"/>
    <cellStyle name="Normal 14" xfId="50" xr:uid="{45E445F5-8303-4265-A48F-1656EE9D86C8}"/>
    <cellStyle name="Normal 14 2" xfId="123" xr:uid="{B77B39D4-A731-4380-BCB9-331DB7AEA0E4}"/>
    <cellStyle name="Normal 15" xfId="78" xr:uid="{50400F41-C301-4943-A9CB-F0E5FEE95E45}"/>
    <cellStyle name="Normal 15 2" xfId="124" xr:uid="{BCCCCFB0-7A72-40E1-BF17-4D69AD44BA7B}"/>
    <cellStyle name="Normal 16" xfId="79" xr:uid="{E91D57BD-A017-46AB-B094-EFAE37D45B1D}"/>
    <cellStyle name="Normal 16 2" xfId="126" xr:uid="{03344342-C558-4C64-9F17-620FD69A1912}"/>
    <cellStyle name="Normal 17" xfId="98" xr:uid="{6FBB110B-B0B4-4857-9840-905169436472}"/>
    <cellStyle name="Normal 17 2" xfId="117" xr:uid="{358E2C2A-3C34-49CD-ADFC-E8636F97D338}"/>
    <cellStyle name="Normal 19" xfId="80" xr:uid="{85F036A8-DEFA-4B44-90FC-EEF472EE536D}"/>
    <cellStyle name="Normal 2" xfId="44" xr:uid="{28B81B3B-0872-4830-8E4E-2F9C03BE8955}"/>
    <cellStyle name="Normal 2 2" xfId="68" xr:uid="{F020FCC4-9AF6-4678-805E-24A1EA00AAC9}"/>
    <cellStyle name="Normal 2 3" xfId="82" xr:uid="{30C083D0-FF87-4783-AA7E-29DCAF01ADB4}"/>
    <cellStyle name="Normal 3" xfId="38" xr:uid="{368E0560-CC15-4717-899D-F684518FDE5F}"/>
    <cellStyle name="Normal 3 2" xfId="62" xr:uid="{42C5D119-4D67-4678-A81B-AD8404BE3524}"/>
    <cellStyle name="Normal 3 2 2" xfId="85" xr:uid="{D82D138A-3201-4F42-BFE0-B9E6876D2FA5}"/>
    <cellStyle name="Normal 3 3" xfId="57" xr:uid="{8D2295B7-B8E2-4CB4-A294-E8A9D9D3C505}"/>
    <cellStyle name="Normal 3 4" xfId="84" xr:uid="{D5DF38D9-143A-48F7-AF5A-8242646C9E5A}"/>
    <cellStyle name="Normal 4" xfId="47" xr:uid="{ED7382DB-3BB1-419B-B0C7-1890212BEB1D}"/>
    <cellStyle name="Normal 4 2" xfId="89" xr:uid="{AA824D93-6A27-465B-A2C0-C80F8DF71301}"/>
    <cellStyle name="Normal 5" xfId="61" xr:uid="{A2DEE509-F3D9-42E7-A167-2D10F552D9AF}"/>
    <cellStyle name="Normal 5 2" xfId="90" xr:uid="{6E34EDA1-7DF6-4084-85F2-39C72CECE83E}"/>
    <cellStyle name="Normal 6" xfId="63" xr:uid="{C95732BC-926D-47BE-AEF6-4156C132E3E1}"/>
    <cellStyle name="Normal 7" xfId="64" xr:uid="{AB36A642-A6AF-4AFE-9403-50AA5105942A}"/>
    <cellStyle name="Normal 7 2" xfId="91" xr:uid="{25962D53-D941-4E18-8760-28F107212837}"/>
    <cellStyle name="Normal 8" xfId="65" xr:uid="{C0265C56-6D49-46E7-9F24-AF8BDB1159DC}"/>
    <cellStyle name="Normal 8 2" xfId="92" xr:uid="{49D0DEEF-FADC-462D-A1DC-6511C122183C}"/>
    <cellStyle name="Normal 9" xfId="66" xr:uid="{D6EEE323-58AA-497A-A82F-E8280C01D2F1}"/>
    <cellStyle name="Normal 9 2" xfId="93" xr:uid="{58FEF0E5-014D-4E94-9402-2E4549070432}"/>
    <cellStyle name="Note" xfId="16" builtinId="10" customBuiltin="1"/>
    <cellStyle name="Output" xfId="11" builtinId="21" customBuiltin="1"/>
    <cellStyle name="Percent" xfId="2" builtinId="5"/>
    <cellStyle name="Percent 2" xfId="45" xr:uid="{71789FB1-B5AA-4FE3-9670-795B60AB66ED}"/>
    <cellStyle name="Percent 3" xfId="41" xr:uid="{98E97110-F3AA-4AA0-82F0-D057FF81B1A6}"/>
    <cellStyle name="Title" xfId="3" builtinId="15" customBuiltin="1"/>
    <cellStyle name="Title 2" xfId="99" xr:uid="{77F04D60-2A22-488C-BE8E-E4462DC6D6A7}"/>
    <cellStyle name="Total" xfId="18" builtinId="25" customBuiltin="1"/>
    <cellStyle name="Trade Footnote" xfId="100" xr:uid="{8023C1A2-F401-4FF5-98EB-C0FC8D0D94E2}"/>
    <cellStyle name="Warning Text" xfId="15" builtinId="11" customBuiltin="1"/>
    <cellStyle name="Year" xfId="60" xr:uid="{23F05237-88B4-4A81-9AB6-38E157A86539}"/>
  </cellStyles>
  <dxfs count="0"/>
  <tableStyles count="1" defaultTableStyle="TableStyleMedium2" defaultPivotStyle="PivotStyleLight16">
    <tableStyle name="Invisible" pivot="0" table="0" count="0" xr9:uid="{8F713944-4D52-478B-B1F1-463B2DA811B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Gunning, Nicholas NCM" id="{3D52044D-84FB-4DC2-A7EE-8B6E2102E943}" userId="S::Nicholas.Gunning@standardbank.co.za::f2009c57-e3a6-4270-8684-6331fd819ed8"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3D52044D-84FB-4DC2-A7EE-8B6E2102E943}" id="{05C9E935-FE77-4457-9A55-688551C67518}">
    <text>1.141.13	Administrator Report Date means the fifteenth twelfth day after each Determination Date, or if any such day is not a Business Day, then the immediately succeeding day that is a Business Day;</text>
  </threadedComment>
  <threadedComment ref="C9" dT="2020-07-10T12:16:41.19" personId="{3D52044D-84FB-4DC2-A7EE-8B6E2102E943}" id="{D210AB0B-48A6-44CF-AB3F-117A2337FAF6}">
    <text>1.1021.100	Determination Date means the last Business Day of [December, March, June and September], save for the first Determination Date which will be the date specified in the APS;</text>
  </threadedComment>
  <threadedComment ref="C12" dT="2020-07-10T12:17:28.82" personId="{3D52044D-84FB-4DC2-A7EE-8B6E2102E943}" id="{D207D60D-8016-4A66-801C-ED34F0EE218C}">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7" dT="2020-07-10T12:19:25.59" personId="{3D52044D-84FB-4DC2-A7EE-8B6E2102E943}" id="{3DF8218D-095D-4B92-80CD-1C6F96C10488}">
    <text>1.2591.251	Repayments means repayments of principal received under a Loan Agreement, being scheduled instalments received, less interest owing during the immediately preceding interest period in terms of the Loan Agreement;</text>
  </threadedComment>
  <threadedComment ref="C68" dT="2020-07-10T12:20:03.96" personId="{3D52044D-84FB-4DC2-A7EE-8B6E2102E943}" id="{824CA7B1-EE09-4C8C-8E5A-5E4977A2442C}">
    <text>1.2201.211	Prepayments means principal repayments received under a Loan Agreement in excess of the minimum Instalments which a Borrower is obliged to pay;</text>
  </threadedComment>
  <threadedComment ref="C72" dT="2020-07-10T12:32:40.90" personId="{3D52044D-84FB-4DC2-A7EE-8B6E2102E943}" id="{4DAD7ABD-82A2-45C9-A16E-6D0593E5B729}">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3" dT="2020-07-10T12:14:24.90" personId="{3D52044D-84FB-4DC2-A7EE-8B6E2102E943}" id="{A2D22317-AEB2-45EB-B03C-8BD491F43FF0}">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102" dT="2020-07-03T14:38:14.35" personId="{3D52044D-84FB-4DC2-A7EE-8B6E2102E943}" id="{DBDDF326-8B4E-447B-990C-95ACC11AF95E}">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3" dT="2020-07-03T14:39:03.59" personId="{3D52044D-84FB-4DC2-A7EE-8B6E2102E943}" id="{C67483FC-C994-46A0-8078-824CAC92ADB9}">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7" dT="2020-07-03T14:39:59.73" personId="{3D52044D-84FB-4DC2-A7EE-8B6E2102E943}" id="{683A3331-FE95-4EA9-BD8F-DF7E0FA2B122}">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18" dT="2020-07-03T14:40:20.29" personId="{3D52044D-84FB-4DC2-A7EE-8B6E2102E943}" id="{69D76FBC-55C4-4993-8190-2CDC7761BC1C}">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4" dT="2020-07-06T07:36:37.57" personId="{3D52044D-84FB-4DC2-A7EE-8B6E2102E943}" id="{F235A57D-1456-45A2-8D35-D8F367D1288F}">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3" dT="2020-07-06T07:42:12.02" personId="{3D52044D-84FB-4DC2-A7EE-8B6E2102E943}" id="{E1E80173-600A-4791-8B00-066A7EDBEA48}">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5" dT="2020-07-06T07:42:23.74" personId="{3D52044D-84FB-4DC2-A7EE-8B6E2102E943}" id="{069252A7-A6C3-49ED-8533-D2A7BC386E18}">
    <text>1.701.69	Class C Principal Lock-Out shall occur on any Interest Payment Date on which, if prior to the allocation of the Redemption Amount in accordance with the Priority of Payments, there are Class B Notes outstanding;</text>
  </threadedComment>
  <threadedComment ref="C139" dT="2020-07-01T09:26:37.19" personId="{3D52044D-84FB-4DC2-A7EE-8B6E2102E943}" id="{617E4F27-A27B-428D-83D5-2C2390BBBBCD}">
    <text>1.1	first, to pay or provide for the Issuer’s liability or potential liability for Tax;</text>
  </threadedComment>
  <threadedComment ref="C140" dT="2020-07-01T09:26:57.34" personId="{3D52044D-84FB-4DC2-A7EE-8B6E2102E943}" id="{EEA0D908-1B74-4413-8134-924AA9D091FF}">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3" dT="2020-07-01T09:27:14.39" personId="{3D52044D-84FB-4DC2-A7EE-8B6E2102E943}" id="{31E383E0-A64B-4C2A-9A38-A3F2CE0C0B7C}">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6" dT="2020-07-01T09:27:31.91" personId="{3D52044D-84FB-4DC2-A7EE-8B6E2102E943}" id="{880941F8-7328-4FCC-8683-7704601281D8}">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50" dT="2020-07-01T09:28:08.22" personId="{3D52044D-84FB-4DC2-A7EE-8B6E2102E943}" id="{B13C2366-ADDB-43EF-85F2-482D637E82C3}">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51" dT="2020-07-01T09:28:21.98" personId="{3D52044D-84FB-4DC2-A7EE-8B6E2102E943}" id="{A967A88F-8A27-4CFC-8BAE-67B615E6C772}">
    <text>1.6	sixth, to pay all amounts due and payable under the Liquidity Facility other than in respect of principal;</text>
  </threadedComment>
  <threadedComment ref="C152" dT="2020-07-01T09:28:38.95" personId="{3D52044D-84FB-4DC2-A7EE-8B6E2102E943}" id="{71D9DA6E-D492-4D50-A5A7-5804041E5E38}">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6" dT="2020-07-01T09:28:53.80" personId="{3D52044D-84FB-4DC2-A7EE-8B6E2102E943}" id="{9FA34C73-4571-4D64-B11A-48050896252F}">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7" dT="2020-07-01T09:29:09.23" personId="{3D52044D-84FB-4DC2-A7EE-8B6E2102E943}" id="{474443B7-281F-4628-AA59-3DF59B29C168}">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58" dT="2020-07-01T09:29:24.56" personId="{3D52044D-84FB-4DC2-A7EE-8B6E2102E943}" id="{A76805DB-2D9D-4AD1-9159-AFA8D1DD9541}">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59" dT="2020-07-01T09:29:39.12" personId="{3D52044D-84FB-4DC2-A7EE-8B6E2102E943}" id="{11991EB7-80C8-4A42-9368-6067180BA505}">
    <text>1.11	eleventh, to repay all principal amounts outstanding under the Liquidity Facility as at the immediately preceding Determination Date up to an amount equal to the Potential Redemption Amount;</text>
  </threadedComment>
  <threadedComment ref="C160" dT="2020-07-01T09:30:54.67" personId="{3D52044D-84FB-4DC2-A7EE-8B6E2102E943}" id="{F3172853-3A24-4FC1-817D-A36AA2035C5E}">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61" dT="2020-07-01T09:32:55.52" personId="{3D52044D-84FB-4DC2-A7EE-8B6E2102E943}" id="{AECCA069-2BD2-44B2-A838-14C4DDEA6519}">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62" dT="2020-07-01T10:02:56.38" personId="{3D52044D-84FB-4DC2-A7EE-8B6E2102E943}" id="{E356FE89-2E7C-4E09-A961-16B3AB3F4098}">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 ref="C169" dT="2020-07-01T10:03:22.01" personId="{3D52044D-84FB-4DC2-A7EE-8B6E2102E943}" id="{DCFBC992-4F7A-4C4A-B6FA-FC528EC0DC41}">
    <text>1.16	sixteenth, to credit the Arrears Reserve up to the Arrears Reserve Required Amount;</text>
  </threadedComment>
  <threadedComment ref="C170" dT="2020-07-01T10:05:05.09" personId="{3D52044D-84FB-4DC2-A7EE-8B6E2102E943}" id="{561844D4-FF66-458E-91DB-2F0ED90658AB}">
    <text>1.17	seventeenth, if a Class B Interest Deferral Event has occurred on or prior to such Interest Payment Date, to pay interest due and payable in respect of the Class B Notes;</text>
  </threadedComment>
  <threadedComment ref="C171" dT="2020-07-01T12:04:10.91" personId="{3D52044D-84FB-4DC2-A7EE-8B6E2102E943}" id="{181F5885-82B4-41BD-A281-66F52E6246B9}">
    <text>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ext>
  </threadedComment>
  <threadedComment ref="C174" dT="2020-07-01T10:03:22.01" personId="{3D52044D-84FB-4DC2-A7EE-8B6E2102E943}" id="{B00C9BE9-C267-46FF-B353-EDA988CBDC40}">
    <text>1.16	sixteenth, to credit the Arrears Reserve up to the Arrears Reserve Required Amount;</text>
  </threadedComment>
  <threadedComment ref="C175" dT="2020-07-01T12:05:33.95" personId="{3D52044D-84FB-4DC2-A7EE-8B6E2102E943}" id="{01BC6760-3B6C-4C9F-8C17-4BD073606063}">
    <text>1.19	nineteenth, if a Class C Interest Deferral Event has occurred on or prior to such Interest Payment Date, to pay interest due and payable in respect of the Class C Notes;</text>
  </threadedComment>
  <threadedComment ref="C176" dT="2020-07-01T12:06:45.00" personId="{3D52044D-84FB-4DC2-A7EE-8B6E2102E943}" id="{2D61EDF4-93B8-4848-8594-1890093C4882}">
    <text>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ext>
  </threadedComment>
  <threadedComment ref="C178" dT="2020-07-01T12:08:33.83" personId="{3D52044D-84FB-4DC2-A7EE-8B6E2102E943}" id="{0D46CE7B-F005-493F-A127-0D785CD8DFCE}">
    <text>1.21	twenty-first, to pay or provide for pari passu and pro rata the Derivative Termination Amounts due and payable to any Derivative Counterparty under the Derivative Contracts where the Derivative Counterparty is in default;</text>
  </threadedComment>
  <threadedComment ref="C179" dT="2020-07-01T12:32:50.70" personId="{3D52044D-84FB-4DC2-A7EE-8B6E2102E943}" id="{38F8AA9C-B277-42D2-ADDF-4AFF157D766A}">
    <text>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ext>
  </threadedComment>
  <threadedComment ref="C180" dT="2020-07-01T12:33:36.96" personId="{3D52044D-84FB-4DC2-A7EE-8B6E2102E943}" id="{0349BF4C-0D1B-4D1C-B55A-98749C93233F}">
    <text>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ext>
  </threadedComment>
  <threadedComment ref="C181" dT="2020-07-01T12:52:53.39" personId="{3D52044D-84FB-4DC2-A7EE-8B6E2102E943}" id="{786E1547-CC76-43D1-ABF3-59075CFE0FD9}">
    <text>1.24	twenty-forth, to pay amounts due and payable in respect of the Subordinated Loan;</text>
  </threadedComment>
  <threadedComment ref="C185" dT="2020-07-01T12:53:16.85" personId="{3D52044D-84FB-4DC2-A7EE-8B6E2102E943}" id="{FCB260E0-3208-4544-BD19-4FE998A6108A}">
    <text>1.25	twenty-fifth, to pay or provide for the dividend due and payable to the Preference Shareholder, net of Taxes; and</text>
  </threadedComment>
  <threadedComment ref="C186" dT="2020-07-01T12:53:33.02" personId="{3D52044D-84FB-4DC2-A7EE-8B6E2102E943}" id="{0D8AA129-D9D5-4743-B5B9-5ADF56261B5C}">
    <text>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EE990-9598-46AF-A675-B5A38451621A}">
  <dimension ref="A1:XFD242"/>
  <sheetViews>
    <sheetView showGridLines="0" topLeftCell="A154" zoomScale="90" zoomScaleNormal="90" zoomScaleSheetLayoutView="50" workbookViewId="0">
      <selection activeCell="H156" sqref="H156"/>
    </sheetView>
  </sheetViews>
  <sheetFormatPr defaultColWidth="9.36328125" defaultRowHeight="14.5"/>
  <cols>
    <col min="1" max="1" width="9.36328125" style="1"/>
    <col min="2" max="2" width="3.453125" style="1" customWidth="1"/>
    <col min="3" max="3" width="39.36328125" style="1" customWidth="1"/>
    <col min="4" max="4" width="11.6328125" style="1" bestFit="1" customWidth="1"/>
    <col min="5" max="5" width="11.453125" style="1" customWidth="1"/>
    <col min="6" max="6" width="9.36328125" style="1"/>
    <col min="7" max="7" width="15.453125" style="1" customWidth="1"/>
    <col min="8" max="8" width="16" style="1" customWidth="1"/>
    <col min="9" max="10" width="16.36328125" style="1" customWidth="1"/>
    <col min="11" max="15" width="18.36328125" style="1" customWidth="1"/>
    <col min="16" max="18" width="15.6328125" style="1" customWidth="1"/>
    <col min="19" max="19" width="17.6328125" style="1" bestFit="1" customWidth="1"/>
    <col min="20" max="21" width="17.6328125" style="1" customWidth="1"/>
    <col min="22" max="22" width="17.36328125" style="1" customWidth="1"/>
    <col min="23" max="23" width="14.54296875" style="1" bestFit="1" customWidth="1"/>
    <col min="24" max="24" width="2.54296875" style="1" customWidth="1"/>
    <col min="25" max="25" width="17.36328125" style="1" bestFit="1" customWidth="1"/>
    <col min="26" max="26" width="33.36328125" style="1" bestFit="1" customWidth="1"/>
    <col min="27" max="27" width="16.36328125" style="1" bestFit="1" customWidth="1"/>
    <col min="28" max="28" width="15.36328125" style="1" bestFit="1" customWidth="1"/>
    <col min="29" max="29" width="17.6328125" style="1" bestFit="1" customWidth="1"/>
    <col min="30" max="30" width="13.453125" style="1" bestFit="1" customWidth="1"/>
    <col min="31" max="31" width="59.36328125" style="1" bestFit="1" customWidth="1"/>
    <col min="32" max="32" width="17.36328125" style="1" bestFit="1" customWidth="1"/>
    <col min="33" max="34" width="9.36328125" style="1"/>
    <col min="35" max="35" width="11.36328125" style="1" bestFit="1" customWidth="1"/>
    <col min="36" max="36" width="9.36328125" style="1"/>
    <col min="37" max="37" width="13.6328125" style="1" bestFit="1" customWidth="1"/>
    <col min="38" max="41" width="9.36328125" style="1"/>
    <col min="42" max="42" width="13.453125" style="1" bestFit="1" customWidth="1"/>
    <col min="43" max="16383" width="9.36328125" style="1"/>
    <col min="16384" max="16384" width="11.6328125" style="1" bestFit="1" customWidth="1"/>
  </cols>
  <sheetData>
    <row r="1" spans="1:24 16384:16384" ht="15" thickBot="1">
      <c r="A1" s="1">
        <v>1</v>
      </c>
      <c r="B1"/>
      <c r="C1"/>
      <c r="D1"/>
      <c r="E1"/>
      <c r="F1"/>
      <c r="G1"/>
      <c r="H1"/>
      <c r="I1"/>
      <c r="J1"/>
      <c r="K1"/>
      <c r="L1"/>
      <c r="M1"/>
      <c r="N1"/>
      <c r="O1"/>
      <c r="P1"/>
      <c r="Q1"/>
      <c r="R1"/>
      <c r="S1"/>
      <c r="T1"/>
      <c r="U1"/>
      <c r="V1"/>
      <c r="W1"/>
      <c r="X1" s="2"/>
      <c r="XFD1"/>
    </row>
    <row r="2" spans="1:24 16384:16384" ht="15" thickBot="1">
      <c r="B2" s="3"/>
      <c r="C2" s="4"/>
      <c r="D2" s="4"/>
      <c r="E2" s="4"/>
      <c r="F2" s="4"/>
      <c r="G2" s="4"/>
      <c r="H2" s="4"/>
      <c r="I2" s="4"/>
      <c r="J2" s="4"/>
      <c r="K2" s="4"/>
      <c r="L2" s="4"/>
      <c r="M2" s="4"/>
      <c r="N2" s="4"/>
      <c r="O2" s="4"/>
      <c r="P2" s="4"/>
      <c r="Q2" s="4"/>
      <c r="R2" s="4"/>
      <c r="S2" s="4"/>
      <c r="T2" s="4"/>
      <c r="U2" s="4"/>
      <c r="V2" s="4"/>
      <c r="W2" s="5"/>
      <c r="X2" s="2"/>
      <c r="XFD2" s="6"/>
    </row>
    <row r="3" spans="1:24 16384:16384" ht="20.25" customHeight="1">
      <c r="B3" s="7"/>
      <c r="C3" s="249" t="s">
        <v>0</v>
      </c>
      <c r="D3" s="250"/>
      <c r="E3" s="250"/>
      <c r="F3" s="250"/>
      <c r="G3" s="250"/>
      <c r="H3" s="250"/>
      <c r="I3" s="250"/>
      <c r="J3" s="250"/>
      <c r="K3" s="250"/>
      <c r="L3" s="250"/>
      <c r="M3" s="250"/>
      <c r="N3" s="250"/>
      <c r="O3" s="250"/>
      <c r="P3" s="250"/>
      <c r="Q3" s="250"/>
      <c r="R3" s="250"/>
      <c r="S3" s="250"/>
      <c r="T3" s="250"/>
      <c r="U3" s="250"/>
      <c r="V3" s="250"/>
      <c r="W3" s="251"/>
      <c r="X3" s="2"/>
    </row>
    <row r="4" spans="1:24 16384:16384" ht="20.25" customHeight="1" thickBot="1">
      <c r="B4" s="7"/>
      <c r="C4" s="252"/>
      <c r="D4" s="253"/>
      <c r="E4" s="253"/>
      <c r="F4" s="253"/>
      <c r="G4" s="253"/>
      <c r="H4" s="253"/>
      <c r="I4" s="253"/>
      <c r="J4" s="253"/>
      <c r="K4" s="253"/>
      <c r="L4" s="253"/>
      <c r="M4" s="253"/>
      <c r="N4" s="253"/>
      <c r="O4" s="253"/>
      <c r="P4" s="253"/>
      <c r="Q4" s="253"/>
      <c r="R4" s="253"/>
      <c r="S4" s="253"/>
      <c r="T4" s="253"/>
      <c r="U4" s="253"/>
      <c r="V4" s="253"/>
      <c r="W4" s="254"/>
      <c r="X4" s="2"/>
      <c r="XFD4" s="8"/>
    </row>
    <row r="5" spans="1:24 16384:16384" ht="15" thickBot="1">
      <c r="B5" s="7"/>
      <c r="C5" s="9"/>
      <c r="D5" s="9"/>
      <c r="E5" s="9"/>
      <c r="F5" s="9"/>
      <c r="G5" s="9"/>
      <c r="H5" s="9"/>
      <c r="I5" s="9"/>
      <c r="J5" s="9"/>
      <c r="K5" s="9"/>
      <c r="L5" s="9"/>
      <c r="M5" s="9"/>
      <c r="N5" s="9"/>
      <c r="O5" s="9"/>
      <c r="P5" s="9"/>
      <c r="Q5" s="9"/>
      <c r="R5" s="9"/>
      <c r="S5" s="9"/>
      <c r="T5" s="9"/>
      <c r="U5" s="9"/>
      <c r="V5" s="9"/>
      <c r="W5" s="2"/>
      <c r="X5" s="2"/>
    </row>
    <row r="6" spans="1:24 16384:16384" ht="15" thickBot="1">
      <c r="B6" s="7"/>
      <c r="C6" s="255" t="s">
        <v>1</v>
      </c>
      <c r="D6" s="256"/>
      <c r="E6" s="256"/>
      <c r="F6" s="256"/>
      <c r="G6" s="256"/>
      <c r="H6" s="256"/>
      <c r="I6" s="256"/>
      <c r="J6" s="256"/>
      <c r="K6" s="256"/>
      <c r="L6" s="256"/>
      <c r="M6" s="256"/>
      <c r="N6" s="256"/>
      <c r="O6" s="256"/>
      <c r="P6" s="256"/>
      <c r="Q6" s="256"/>
      <c r="R6" s="256"/>
      <c r="S6" s="256"/>
      <c r="T6" s="256"/>
      <c r="U6" s="256"/>
      <c r="V6" s="256"/>
      <c r="W6" s="257"/>
      <c r="X6" s="2"/>
    </row>
    <row r="7" spans="1:24 16384:16384" ht="15" thickBot="1">
      <c r="B7" s="7"/>
      <c r="C7" s="9"/>
      <c r="D7" s="9"/>
      <c r="E7" s="9"/>
      <c r="F7" s="9"/>
      <c r="G7" s="9"/>
      <c r="H7" s="9"/>
      <c r="I7" s="9"/>
      <c r="J7" s="9"/>
      <c r="K7" s="9"/>
      <c r="L7" s="9"/>
      <c r="M7" s="9"/>
      <c r="N7" s="9"/>
      <c r="O7" s="9"/>
      <c r="P7" s="9"/>
      <c r="Q7" s="9"/>
      <c r="R7" s="9"/>
      <c r="S7" s="9"/>
      <c r="T7" s="9"/>
      <c r="U7" s="9"/>
      <c r="V7" s="9"/>
      <c r="W7" s="2"/>
      <c r="X7" s="2"/>
    </row>
    <row r="8" spans="1:24 16384:16384">
      <c r="B8" s="7"/>
      <c r="C8" s="10" t="s">
        <v>2</v>
      </c>
      <c r="D8" s="11"/>
      <c r="E8" s="11"/>
      <c r="F8" s="11"/>
      <c r="G8" s="11"/>
      <c r="H8" s="11"/>
      <c r="I8" s="11"/>
      <c r="J8" s="11"/>
      <c r="K8" s="258">
        <v>45973</v>
      </c>
      <c r="L8" s="259"/>
      <c r="M8" s="259"/>
      <c r="N8" s="259"/>
      <c r="O8" s="259"/>
      <c r="P8" s="259"/>
      <c r="Q8" s="259"/>
      <c r="R8" s="259"/>
      <c r="S8" s="259"/>
      <c r="T8" s="259"/>
      <c r="U8" s="259"/>
      <c r="V8" s="259"/>
      <c r="W8" s="260"/>
      <c r="X8" s="2"/>
    </row>
    <row r="9" spans="1:24 16384:16384">
      <c r="B9" s="7"/>
      <c r="C9" s="12" t="s">
        <v>3</v>
      </c>
      <c r="D9" s="13"/>
      <c r="E9" s="13"/>
      <c r="F9" s="13"/>
      <c r="G9" s="13"/>
      <c r="H9" s="13"/>
      <c r="I9" s="13"/>
      <c r="J9" s="14"/>
      <c r="K9" s="261">
        <f>'Servicer Report'!J9</f>
        <v>45961</v>
      </c>
      <c r="L9" s="262"/>
      <c r="M9" s="262"/>
      <c r="N9" s="262"/>
      <c r="O9" s="262"/>
      <c r="P9" s="262"/>
      <c r="Q9" s="262"/>
      <c r="R9" s="262"/>
      <c r="S9" s="262"/>
      <c r="T9" s="262"/>
      <c r="U9" s="262"/>
      <c r="V9" s="262"/>
      <c r="W9" s="263"/>
      <c r="X9" s="2"/>
    </row>
    <row r="10" spans="1:24 16384:16384">
      <c r="B10" s="7"/>
      <c r="C10" s="264" t="s">
        <v>4</v>
      </c>
      <c r="D10" s="265"/>
      <c r="E10" s="266"/>
      <c r="F10" s="16" t="s">
        <v>5</v>
      </c>
      <c r="G10" s="13"/>
      <c r="H10" s="13"/>
      <c r="I10" s="13"/>
      <c r="J10" s="14"/>
      <c r="K10" s="261">
        <f>'Servicer Report'!J10</f>
        <v>45869</v>
      </c>
      <c r="L10" s="262"/>
      <c r="M10" s="262"/>
      <c r="N10" s="262"/>
      <c r="O10" s="262"/>
      <c r="P10" s="262"/>
      <c r="Q10" s="262"/>
      <c r="R10" s="262"/>
      <c r="S10" s="262"/>
      <c r="T10" s="262"/>
      <c r="U10" s="262"/>
      <c r="V10" s="262"/>
      <c r="W10" s="263"/>
      <c r="X10" s="2"/>
    </row>
    <row r="11" spans="1:24 16384:16384" ht="15" customHeight="1">
      <c r="B11" s="7"/>
      <c r="C11" s="267"/>
      <c r="D11" s="268"/>
      <c r="E11" s="269"/>
      <c r="F11" s="19" t="s">
        <v>6</v>
      </c>
      <c r="G11" s="13"/>
      <c r="H11" s="13"/>
      <c r="I11" s="13"/>
      <c r="J11" s="14"/>
      <c r="K11" s="261">
        <f>'Servicer Report'!J11</f>
        <v>45961</v>
      </c>
      <c r="L11" s="262"/>
      <c r="M11" s="262"/>
      <c r="N11" s="262"/>
      <c r="O11" s="262"/>
      <c r="P11" s="262"/>
      <c r="Q11" s="262"/>
      <c r="R11" s="262"/>
      <c r="S11" s="262"/>
      <c r="T11" s="262"/>
      <c r="U11" s="262"/>
      <c r="V11" s="262"/>
      <c r="W11" s="263"/>
      <c r="X11" s="2"/>
    </row>
    <row r="12" spans="1:24 16384:16384">
      <c r="B12" s="7"/>
      <c r="C12" s="17" t="s">
        <v>7</v>
      </c>
      <c r="D12" s="20"/>
      <c r="E12" s="21"/>
      <c r="F12" s="22"/>
      <c r="G12" s="13"/>
      <c r="H12" s="13"/>
      <c r="I12" s="13"/>
      <c r="J12" s="14"/>
      <c r="K12" s="288">
        <f>K11-K10</f>
        <v>92</v>
      </c>
      <c r="L12" s="289"/>
      <c r="M12" s="289"/>
      <c r="N12" s="289"/>
      <c r="O12" s="289"/>
      <c r="P12" s="289"/>
      <c r="Q12" s="289"/>
      <c r="R12" s="289"/>
      <c r="S12" s="289"/>
      <c r="T12" s="289"/>
      <c r="U12" s="289"/>
      <c r="V12" s="289"/>
      <c r="W12" s="290"/>
      <c r="X12" s="2"/>
    </row>
    <row r="13" spans="1:24 16384:16384">
      <c r="B13" s="7"/>
      <c r="C13" s="23" t="s">
        <v>8</v>
      </c>
      <c r="D13" s="22"/>
      <c r="E13" s="22"/>
      <c r="F13" s="22"/>
      <c r="G13" s="22"/>
      <c r="H13" s="22"/>
      <c r="I13" s="22"/>
      <c r="J13" s="14"/>
      <c r="K13" s="261">
        <v>45978</v>
      </c>
      <c r="L13" s="262"/>
      <c r="M13" s="262"/>
      <c r="N13" s="262"/>
      <c r="O13" s="262"/>
      <c r="P13" s="262"/>
      <c r="Q13" s="262"/>
      <c r="R13" s="262"/>
      <c r="S13" s="262"/>
      <c r="T13" s="262"/>
      <c r="U13" s="262"/>
      <c r="V13" s="262"/>
      <c r="W13" s="263"/>
      <c r="X13" s="2"/>
    </row>
    <row r="14" spans="1:24 16384:16384">
      <c r="B14" s="7"/>
      <c r="C14" s="264" t="s">
        <v>9</v>
      </c>
      <c r="D14" s="265"/>
      <c r="E14" s="266"/>
      <c r="F14" s="24" t="s">
        <v>10</v>
      </c>
      <c r="G14" s="22"/>
      <c r="H14" s="22"/>
      <c r="I14" s="22"/>
      <c r="J14" s="14"/>
      <c r="K14" s="261">
        <v>45884</v>
      </c>
      <c r="L14" s="262"/>
      <c r="M14" s="262"/>
      <c r="N14" s="262"/>
      <c r="O14" s="262"/>
      <c r="P14" s="262"/>
      <c r="Q14" s="262"/>
      <c r="R14" s="262"/>
      <c r="S14" s="262"/>
      <c r="T14" s="262"/>
      <c r="U14" s="262"/>
      <c r="V14" s="262"/>
      <c r="W14" s="263"/>
      <c r="X14" s="2"/>
    </row>
    <row r="15" spans="1:24 16384:16384" ht="15" customHeight="1">
      <c r="B15" s="7"/>
      <c r="C15" s="267"/>
      <c r="D15" s="268"/>
      <c r="E15" s="269"/>
      <c r="F15" s="16" t="s">
        <v>11</v>
      </c>
      <c r="G15" s="22"/>
      <c r="H15" s="22"/>
      <c r="I15" s="22"/>
      <c r="J15" s="14"/>
      <c r="K15" s="261">
        <f>K13</f>
        <v>45978</v>
      </c>
      <c r="L15" s="262"/>
      <c r="M15" s="262"/>
      <c r="N15" s="262"/>
      <c r="O15" s="262"/>
      <c r="P15" s="262"/>
      <c r="Q15" s="262"/>
      <c r="R15" s="262"/>
      <c r="S15" s="262"/>
      <c r="T15" s="262"/>
      <c r="U15" s="262"/>
      <c r="V15" s="262"/>
      <c r="W15" s="263"/>
      <c r="X15" s="2"/>
    </row>
    <row r="16" spans="1:24 16384:16384">
      <c r="B16" s="7"/>
      <c r="C16" s="17" t="s">
        <v>12</v>
      </c>
      <c r="D16" s="18"/>
      <c r="E16" s="18"/>
      <c r="F16" s="22"/>
      <c r="G16" s="22"/>
      <c r="H16" s="22"/>
      <c r="I16" s="22"/>
      <c r="J16" s="14"/>
      <c r="K16" s="288">
        <f>K15-K14</f>
        <v>94</v>
      </c>
      <c r="L16" s="289"/>
      <c r="M16" s="289"/>
      <c r="N16" s="289"/>
      <c r="O16" s="289"/>
      <c r="P16" s="289"/>
      <c r="Q16" s="289"/>
      <c r="R16" s="289"/>
      <c r="S16" s="289"/>
      <c r="T16" s="289"/>
      <c r="U16" s="289"/>
      <c r="V16" s="289"/>
      <c r="W16" s="290"/>
      <c r="X16" s="2"/>
    </row>
    <row r="17" spans="2:25">
      <c r="B17" s="7"/>
      <c r="C17" s="25" t="s">
        <v>13</v>
      </c>
      <c r="D17" s="21"/>
      <c r="E17" s="21"/>
      <c r="F17" s="22"/>
      <c r="G17" s="22"/>
      <c r="H17" s="22"/>
      <c r="I17" s="22"/>
      <c r="J17" s="14"/>
      <c r="K17" s="270">
        <f>SUM(G31:W31)</f>
        <v>1804173042</v>
      </c>
      <c r="L17" s="271"/>
      <c r="M17" s="271"/>
      <c r="N17" s="271"/>
      <c r="O17" s="271"/>
      <c r="P17" s="271"/>
      <c r="Q17" s="271"/>
      <c r="R17" s="271"/>
      <c r="S17" s="271"/>
      <c r="T17" s="271"/>
      <c r="U17" s="271"/>
      <c r="V17" s="271"/>
      <c r="W17" s="272"/>
      <c r="X17" s="2"/>
    </row>
    <row r="18" spans="2:25">
      <c r="B18" s="7"/>
      <c r="C18" s="25" t="s">
        <v>14</v>
      </c>
      <c r="D18" s="21"/>
      <c r="E18" s="21"/>
      <c r="F18" s="22"/>
      <c r="G18" s="22"/>
      <c r="H18" s="22"/>
      <c r="I18" s="22"/>
      <c r="J18" s="14"/>
      <c r="K18" s="273">
        <f>SUM(G35:W35)</f>
        <v>1178788411.1187129</v>
      </c>
      <c r="L18" s="274"/>
      <c r="M18" s="274"/>
      <c r="N18" s="274"/>
      <c r="O18" s="274"/>
      <c r="P18" s="274"/>
      <c r="Q18" s="274"/>
      <c r="R18" s="274"/>
      <c r="S18" s="274"/>
      <c r="T18" s="274"/>
      <c r="U18" s="274"/>
      <c r="V18" s="274"/>
      <c r="W18" s="275"/>
      <c r="X18" s="2"/>
      <c r="Y18" s="26"/>
    </row>
    <row r="19" spans="2:25">
      <c r="B19" s="7"/>
      <c r="C19" s="17" t="s">
        <v>15</v>
      </c>
      <c r="D19" s="18"/>
      <c r="E19" s="18"/>
      <c r="F19" s="13"/>
      <c r="G19" s="13"/>
      <c r="H19" s="13"/>
      <c r="I19" s="13"/>
      <c r="J19" s="14"/>
      <c r="K19" s="276">
        <f>SUM(K40:W40)</f>
        <v>1171426525.9802127</v>
      </c>
      <c r="L19" s="277"/>
      <c r="M19" s="277"/>
      <c r="N19" s="277"/>
      <c r="O19" s="277"/>
      <c r="P19" s="277"/>
      <c r="Q19" s="277"/>
      <c r="R19" s="277"/>
      <c r="S19" s="277"/>
      <c r="T19" s="277"/>
      <c r="U19" s="277"/>
      <c r="V19" s="277"/>
      <c r="W19" s="278"/>
      <c r="X19" s="2"/>
    </row>
    <row r="20" spans="2:25" ht="15" thickBot="1">
      <c r="B20" s="7"/>
      <c r="C20" s="27" t="s">
        <v>16</v>
      </c>
      <c r="D20" s="28"/>
      <c r="E20" s="28"/>
      <c r="F20" s="28"/>
      <c r="G20" s="28"/>
      <c r="H20" s="28"/>
      <c r="I20" s="28"/>
      <c r="J20" s="29"/>
      <c r="K20" s="279" t="s">
        <v>17</v>
      </c>
      <c r="L20" s="280"/>
      <c r="M20" s="280"/>
      <c r="N20" s="280"/>
      <c r="O20" s="280"/>
      <c r="P20" s="280"/>
      <c r="Q20" s="280"/>
      <c r="R20" s="280"/>
      <c r="S20" s="280"/>
      <c r="T20" s="280"/>
      <c r="U20" s="280"/>
      <c r="V20" s="280"/>
      <c r="W20" s="281"/>
      <c r="X20" s="2"/>
    </row>
    <row r="21" spans="2:25" ht="15" thickBot="1">
      <c r="B21" s="7"/>
      <c r="C21" s="9"/>
      <c r="D21" s="9"/>
      <c r="E21" s="9"/>
      <c r="F21" s="9"/>
      <c r="G21" s="9"/>
      <c r="H21" s="9"/>
      <c r="I21" s="9"/>
      <c r="J21" s="9"/>
      <c r="K21" s="9"/>
      <c r="L21" s="9"/>
      <c r="M21" s="9"/>
      <c r="N21" s="9"/>
      <c r="O21" s="9"/>
      <c r="P21" s="9"/>
      <c r="Q21" s="9"/>
      <c r="R21" s="9"/>
      <c r="S21" s="9"/>
      <c r="T21" s="9"/>
      <c r="U21" s="9"/>
      <c r="V21" s="9"/>
      <c r="W21" s="2"/>
      <c r="X21" s="2"/>
    </row>
    <row r="22" spans="2:25">
      <c r="B22" s="7"/>
      <c r="C22" s="30" t="s">
        <v>18</v>
      </c>
      <c r="D22" s="31"/>
      <c r="E22" s="31"/>
      <c r="F22" s="31"/>
      <c r="G22" s="31"/>
      <c r="H22" s="31"/>
      <c r="I22" s="31"/>
      <c r="J22" s="31"/>
      <c r="K22" s="31"/>
      <c r="L22" s="31"/>
      <c r="M22" s="31"/>
      <c r="N22" s="31"/>
      <c r="O22" s="31"/>
      <c r="P22" s="31"/>
      <c r="Q22" s="31"/>
      <c r="R22" s="31"/>
      <c r="S22" s="31"/>
      <c r="T22" s="31"/>
      <c r="U22" s="31"/>
      <c r="V22" s="31"/>
      <c r="W22" s="32"/>
      <c r="X22" s="2"/>
    </row>
    <row r="23" spans="2:25">
      <c r="B23" s="7"/>
      <c r="C23" s="23" t="s">
        <v>19</v>
      </c>
      <c r="D23" s="33"/>
      <c r="E23" s="33"/>
      <c r="F23" s="33"/>
      <c r="G23" s="16" t="s">
        <v>20</v>
      </c>
      <c r="H23" s="16" t="s">
        <v>21</v>
      </c>
      <c r="I23" s="16" t="s">
        <v>22</v>
      </c>
      <c r="J23" s="16" t="s">
        <v>23</v>
      </c>
      <c r="K23" s="16" t="s">
        <v>24</v>
      </c>
      <c r="L23" s="16" t="s">
        <v>25</v>
      </c>
      <c r="M23" s="16" t="s">
        <v>26</v>
      </c>
      <c r="N23" s="16" t="s">
        <v>27</v>
      </c>
      <c r="O23" s="16" t="s">
        <v>28</v>
      </c>
      <c r="P23" s="16" t="s">
        <v>29</v>
      </c>
      <c r="Q23" s="16" t="s">
        <v>30</v>
      </c>
      <c r="R23" s="16" t="s">
        <v>30</v>
      </c>
      <c r="S23" s="16" t="s">
        <v>30</v>
      </c>
      <c r="T23" s="16" t="s">
        <v>31</v>
      </c>
      <c r="U23" s="34" t="s">
        <v>31</v>
      </c>
      <c r="V23" s="34" t="s">
        <v>31</v>
      </c>
      <c r="W23" s="35" t="s">
        <v>31</v>
      </c>
      <c r="X23" s="2"/>
    </row>
    <row r="24" spans="2:25">
      <c r="B24" s="7"/>
      <c r="C24" s="36" t="s">
        <v>32</v>
      </c>
      <c r="D24" s="37"/>
      <c r="E24" s="37"/>
      <c r="F24" s="37"/>
      <c r="G24" s="38" t="s">
        <v>33</v>
      </c>
      <c r="H24" s="38" t="s">
        <v>34</v>
      </c>
      <c r="I24" s="38" t="s">
        <v>35</v>
      </c>
      <c r="J24" s="38" t="s">
        <v>36</v>
      </c>
      <c r="K24" s="38" t="s">
        <v>37</v>
      </c>
      <c r="L24" s="38" t="s">
        <v>38</v>
      </c>
      <c r="M24" s="38" t="s">
        <v>39</v>
      </c>
      <c r="N24" s="38" t="s">
        <v>40</v>
      </c>
      <c r="O24" s="38" t="s">
        <v>41</v>
      </c>
      <c r="P24" s="38" t="s">
        <v>42</v>
      </c>
      <c r="Q24" s="38" t="s">
        <v>43</v>
      </c>
      <c r="R24" s="38" t="s">
        <v>44</v>
      </c>
      <c r="S24" s="38" t="s">
        <v>45</v>
      </c>
      <c r="T24" s="39" t="s">
        <v>46</v>
      </c>
      <c r="U24" s="40" t="s">
        <v>47</v>
      </c>
      <c r="V24" s="40" t="s">
        <v>48</v>
      </c>
      <c r="W24" s="41" t="s">
        <v>49</v>
      </c>
      <c r="X24" s="2"/>
    </row>
    <row r="25" spans="2:25">
      <c r="B25" s="7"/>
      <c r="C25" s="23" t="s">
        <v>50</v>
      </c>
      <c r="D25" s="33"/>
      <c r="E25" s="33"/>
      <c r="F25" s="33"/>
      <c r="G25" s="38" t="s">
        <v>51</v>
      </c>
      <c r="H25" s="38" t="s">
        <v>52</v>
      </c>
      <c r="I25" s="38" t="s">
        <v>53</v>
      </c>
      <c r="J25" s="38" t="s">
        <v>54</v>
      </c>
      <c r="K25" s="38" t="s">
        <v>55</v>
      </c>
      <c r="L25" s="38" t="s">
        <v>56</v>
      </c>
      <c r="M25" s="38" t="s">
        <v>57</v>
      </c>
      <c r="N25" s="38" t="s">
        <v>58</v>
      </c>
      <c r="O25" s="38" t="s">
        <v>59</v>
      </c>
      <c r="P25" s="38" t="s">
        <v>60</v>
      </c>
      <c r="Q25" s="38" t="s">
        <v>61</v>
      </c>
      <c r="R25" s="38" t="s">
        <v>62</v>
      </c>
      <c r="S25" s="38" t="s">
        <v>63</v>
      </c>
      <c r="T25" s="42" t="s">
        <v>64</v>
      </c>
      <c r="U25" s="43" t="s">
        <v>65</v>
      </c>
      <c r="V25" s="43" t="s">
        <v>66</v>
      </c>
      <c r="W25" s="44" t="s">
        <v>67</v>
      </c>
      <c r="X25" s="2"/>
    </row>
    <row r="26" spans="2:25">
      <c r="B26" s="7"/>
      <c r="C26" s="23" t="s">
        <v>68</v>
      </c>
      <c r="D26" s="33"/>
      <c r="E26" s="33"/>
      <c r="F26" s="33"/>
      <c r="G26" s="38" t="s">
        <v>69</v>
      </c>
      <c r="H26" s="38" t="s">
        <v>69</v>
      </c>
      <c r="I26" s="38" t="s">
        <v>69</v>
      </c>
      <c r="J26" s="38" t="s">
        <v>69</v>
      </c>
      <c r="K26" s="38" t="s">
        <v>69</v>
      </c>
      <c r="L26" s="38" t="s">
        <v>69</v>
      </c>
      <c r="M26" s="38" t="s">
        <v>69</v>
      </c>
      <c r="N26" s="38" t="s">
        <v>70</v>
      </c>
      <c r="O26" s="38" t="s">
        <v>69</v>
      </c>
      <c r="P26" s="38" t="s">
        <v>69</v>
      </c>
      <c r="Q26" s="38" t="s">
        <v>69</v>
      </c>
      <c r="R26" s="38" t="s">
        <v>69</v>
      </c>
      <c r="S26" s="38" t="s">
        <v>69</v>
      </c>
      <c r="T26" s="45" t="s">
        <v>69</v>
      </c>
      <c r="U26" s="46" t="s">
        <v>69</v>
      </c>
      <c r="V26" s="46" t="s">
        <v>69</v>
      </c>
      <c r="W26" s="41" t="s">
        <v>69</v>
      </c>
      <c r="X26" s="2"/>
    </row>
    <row r="27" spans="2:25">
      <c r="B27" s="7"/>
      <c r="C27" s="36" t="s">
        <v>71</v>
      </c>
      <c r="D27" s="37"/>
      <c r="E27" s="37"/>
      <c r="F27" s="37"/>
      <c r="G27" s="47">
        <v>1.55E-2</v>
      </c>
      <c r="H27" s="48">
        <v>1.7000000000000001E-2</v>
      </c>
      <c r="I27" s="48">
        <v>1.4999999999999999E-2</v>
      </c>
      <c r="J27" s="48">
        <v>1.4500000000000001E-2</v>
      </c>
      <c r="K27" s="48">
        <v>2.1999999999999999E-2</v>
      </c>
      <c r="L27" s="48">
        <v>2.35E-2</v>
      </c>
      <c r="M27" s="48">
        <v>2.5000000000000001E-2</v>
      </c>
      <c r="N27" s="49" t="s">
        <v>72</v>
      </c>
      <c r="O27" s="48">
        <v>2.35E-2</v>
      </c>
      <c r="P27" s="48">
        <v>1.6E-2</v>
      </c>
      <c r="Q27" s="48">
        <v>2.5000000000000001E-2</v>
      </c>
      <c r="R27" s="48">
        <v>2.7400000000000001E-2</v>
      </c>
      <c r="S27" s="48">
        <v>2.75E-2</v>
      </c>
      <c r="T27" s="50">
        <v>3.7999999999999999E-2</v>
      </c>
      <c r="U27" s="51">
        <v>0.04</v>
      </c>
      <c r="V27" s="51">
        <v>3.6999999999999998E-2</v>
      </c>
      <c r="W27" s="52">
        <v>3.6999999999999998E-2</v>
      </c>
      <c r="X27" s="2"/>
    </row>
    <row r="28" spans="2:25">
      <c r="B28" s="7"/>
      <c r="C28" s="23" t="s">
        <v>73</v>
      </c>
      <c r="D28" s="33"/>
      <c r="E28" s="33"/>
      <c r="F28" s="33"/>
      <c r="G28" s="47">
        <f t="shared" ref="G28:M28" si="0">G27*1.3</f>
        <v>2.0150000000000001E-2</v>
      </c>
      <c r="H28" s="48">
        <f t="shared" si="0"/>
        <v>2.2100000000000002E-2</v>
      </c>
      <c r="I28" s="48">
        <f>I27*1.3</f>
        <v>1.95E-2</v>
      </c>
      <c r="J28" s="48">
        <v>1.89E-2</v>
      </c>
      <c r="K28" s="48">
        <f t="shared" si="0"/>
        <v>2.86E-2</v>
      </c>
      <c r="L28" s="48">
        <f t="shared" si="0"/>
        <v>3.0550000000000001E-2</v>
      </c>
      <c r="M28" s="48">
        <f t="shared" si="0"/>
        <v>3.2500000000000001E-2</v>
      </c>
      <c r="N28" s="48">
        <f>M28</f>
        <v>3.2500000000000001E-2</v>
      </c>
      <c r="O28" s="48">
        <v>3.0599999999999999E-2</v>
      </c>
      <c r="P28" s="48">
        <f>P27*1.3</f>
        <v>2.0800000000000003E-2</v>
      </c>
      <c r="Q28" s="48">
        <f>Q27*1.3</f>
        <v>3.2500000000000001E-2</v>
      </c>
      <c r="R28" s="48">
        <f>R27*1.3</f>
        <v>3.5619999999999999E-2</v>
      </c>
      <c r="S28" s="48">
        <v>3.5799999999999998E-2</v>
      </c>
      <c r="T28" s="50">
        <f>T27*1.3</f>
        <v>4.9399999999999999E-2</v>
      </c>
      <c r="U28" s="51">
        <v>5.2000000000000005E-2</v>
      </c>
      <c r="V28" s="51">
        <v>4.8099999999999997E-2</v>
      </c>
      <c r="W28" s="52">
        <f>W27*1.3</f>
        <v>4.8099999999999997E-2</v>
      </c>
      <c r="X28" s="2"/>
    </row>
    <row r="29" spans="2:25">
      <c r="B29" s="7"/>
      <c r="C29" s="23" t="s">
        <v>74</v>
      </c>
      <c r="D29" s="33"/>
      <c r="E29" s="33"/>
      <c r="F29" s="33"/>
      <c r="G29" s="47">
        <f>'Servicer Report'!$J$16</f>
        <v>7.0169999999999996E-2</v>
      </c>
      <c r="H29" s="48">
        <f>'Servicer Report'!$J$16</f>
        <v>7.0169999999999996E-2</v>
      </c>
      <c r="I29" s="48">
        <f>'Servicer Report'!$J$16</f>
        <v>7.0169999999999996E-2</v>
      </c>
      <c r="J29" s="48">
        <f>'Servicer Report'!$J$16</f>
        <v>7.0169999999999996E-2</v>
      </c>
      <c r="K29" s="48">
        <f>'Servicer Report'!$J$16</f>
        <v>7.0169999999999996E-2</v>
      </c>
      <c r="L29" s="48">
        <f>'Servicer Report'!$J$16</f>
        <v>7.0169999999999996E-2</v>
      </c>
      <c r="M29" s="48">
        <f>'Servicer Report'!$J$16</f>
        <v>7.0169999999999996E-2</v>
      </c>
      <c r="N29" s="49" t="s">
        <v>72</v>
      </c>
      <c r="O29" s="48">
        <f>'Servicer Report'!$J$16</f>
        <v>7.0169999999999996E-2</v>
      </c>
      <c r="P29" s="48">
        <f>'Servicer Report'!$J$16</f>
        <v>7.0169999999999996E-2</v>
      </c>
      <c r="Q29" s="48">
        <f>'Servicer Report'!$J$16</f>
        <v>7.0169999999999996E-2</v>
      </c>
      <c r="R29" s="48">
        <f>'Servicer Report'!$J$16</f>
        <v>7.0169999999999996E-2</v>
      </c>
      <c r="S29" s="48">
        <f>'Servicer Report'!$J$16</f>
        <v>7.0169999999999996E-2</v>
      </c>
      <c r="T29" s="48">
        <f>'Servicer Report'!$J$16</f>
        <v>7.0169999999999996E-2</v>
      </c>
      <c r="U29" s="48">
        <f>'Servicer Report'!$J$16</f>
        <v>7.0169999999999996E-2</v>
      </c>
      <c r="V29" s="51">
        <f>'Servicer Report'!$J$16</f>
        <v>7.0169999999999996E-2</v>
      </c>
      <c r="W29" s="52">
        <f>'Servicer Report'!$J$16</f>
        <v>7.0169999999999996E-2</v>
      </c>
      <c r="X29" s="2"/>
    </row>
    <row r="30" spans="2:25">
      <c r="B30" s="7"/>
      <c r="C30" s="23" t="s">
        <v>75</v>
      </c>
      <c r="D30" s="33"/>
      <c r="E30" s="33"/>
      <c r="F30" s="33"/>
      <c r="G30" s="53">
        <f>G29+G27</f>
        <v>8.5669999999999996E-2</v>
      </c>
      <c r="H30" s="54">
        <f>H29+H27</f>
        <v>8.7169999999999997E-2</v>
      </c>
      <c r="I30" s="54">
        <f>I29+I27</f>
        <v>8.5169999999999996E-2</v>
      </c>
      <c r="J30" s="54">
        <f>J29+J27</f>
        <v>8.4669999999999995E-2</v>
      </c>
      <c r="K30" s="54">
        <f t="shared" ref="K30:L30" si="1">K29+K27</f>
        <v>9.2170000000000002E-2</v>
      </c>
      <c r="L30" s="54">
        <f t="shared" si="1"/>
        <v>9.3670000000000003E-2</v>
      </c>
      <c r="M30" s="54">
        <f>M29+M27</f>
        <v>9.5170000000000005E-2</v>
      </c>
      <c r="N30" s="55">
        <v>0.10235</v>
      </c>
      <c r="O30" s="54">
        <f t="shared" ref="O30:W30" si="2">O29+O27</f>
        <v>9.3670000000000003E-2</v>
      </c>
      <c r="P30" s="54">
        <f t="shared" si="2"/>
        <v>8.6169999999999997E-2</v>
      </c>
      <c r="Q30" s="54">
        <f t="shared" si="2"/>
        <v>9.5170000000000005E-2</v>
      </c>
      <c r="R30" s="54">
        <f t="shared" si="2"/>
        <v>9.756999999999999E-2</v>
      </c>
      <c r="S30" s="54">
        <f t="shared" si="2"/>
        <v>9.7669999999999993E-2</v>
      </c>
      <c r="T30" s="56">
        <f t="shared" si="2"/>
        <v>0.10816999999999999</v>
      </c>
      <c r="U30" s="56">
        <f t="shared" si="2"/>
        <v>0.11016999999999999</v>
      </c>
      <c r="V30" s="57">
        <f t="shared" si="2"/>
        <v>0.10716999999999999</v>
      </c>
      <c r="W30" s="58">
        <f t="shared" si="2"/>
        <v>0.10716999999999999</v>
      </c>
      <c r="X30" s="2"/>
    </row>
    <row r="31" spans="2:25">
      <c r="B31" s="7"/>
      <c r="C31" s="36" t="s">
        <v>76</v>
      </c>
      <c r="D31" s="37"/>
      <c r="E31" s="37"/>
      <c r="F31" s="37"/>
      <c r="G31" s="59">
        <v>202000000</v>
      </c>
      <c r="H31" s="59">
        <v>27000000</v>
      </c>
      <c r="I31" s="59">
        <v>150000000</v>
      </c>
      <c r="J31" s="59">
        <v>50000000</v>
      </c>
      <c r="K31" s="59">
        <v>309000000</v>
      </c>
      <c r="L31" s="59">
        <v>283000000</v>
      </c>
      <c r="M31" s="59">
        <v>135000000</v>
      </c>
      <c r="N31" s="59">
        <v>60000000</v>
      </c>
      <c r="O31" s="59">
        <v>135000000</v>
      </c>
      <c r="P31" s="59">
        <v>167173042</v>
      </c>
      <c r="Q31" s="59">
        <v>73000000</v>
      </c>
      <c r="R31" s="59">
        <v>118000000</v>
      </c>
      <c r="S31" s="59">
        <v>30000000</v>
      </c>
      <c r="T31" s="60">
        <v>25000000</v>
      </c>
      <c r="U31" s="61">
        <v>12000000</v>
      </c>
      <c r="V31" s="61">
        <v>10000000</v>
      </c>
      <c r="W31" s="62">
        <v>18000000</v>
      </c>
      <c r="X31" s="2"/>
    </row>
    <row r="32" spans="2:25">
      <c r="B32" s="7"/>
      <c r="C32" s="23" t="s">
        <v>77</v>
      </c>
      <c r="D32" s="33"/>
      <c r="E32" s="33"/>
      <c r="F32" s="33"/>
      <c r="G32" s="47">
        <f t="shared" ref="G32:O32" si="3">G31/SUM($G$31:$W$31)</f>
        <v>0.11196265285954761</v>
      </c>
      <c r="H32" s="48">
        <f t="shared" si="3"/>
        <v>1.4965305085187055E-2</v>
      </c>
      <c r="I32" s="48">
        <f t="shared" si="3"/>
        <v>8.3140583806594753E-2</v>
      </c>
      <c r="J32" s="48">
        <f t="shared" si="3"/>
        <v>2.7713527935531584E-2</v>
      </c>
      <c r="K32" s="48">
        <f t="shared" si="3"/>
        <v>0.17126960264158519</v>
      </c>
      <c r="L32" s="48">
        <f t="shared" si="3"/>
        <v>0.15685856811510876</v>
      </c>
      <c r="M32" s="48">
        <f t="shared" si="3"/>
        <v>7.4826525425935278E-2</v>
      </c>
      <c r="N32" s="48">
        <f t="shared" si="3"/>
        <v>3.3256233522637901E-2</v>
      </c>
      <c r="O32" s="48">
        <f t="shared" si="3"/>
        <v>7.4826525425935278E-2</v>
      </c>
      <c r="P32" s="48">
        <f>P31/SUM($G$31:$W$31)</f>
        <v>9.2659095390695903E-2</v>
      </c>
      <c r="Q32" s="48">
        <f>Q31/SUM($E$31:$W$31)</f>
        <v>4.0461750785876112E-2</v>
      </c>
      <c r="R32" s="48">
        <f>R31/SUM($G$31:$W$31)</f>
        <v>6.5403925927854545E-2</v>
      </c>
      <c r="S32" s="48">
        <f>S31/SUM($G$31:$W$31)</f>
        <v>1.6628116761318951E-2</v>
      </c>
      <c r="T32" s="50">
        <f>T31/SUM($E$31:$W$31)</f>
        <v>1.3856763967765792E-2</v>
      </c>
      <c r="U32" s="50">
        <f>U31/SUM($E$31:$W$31)</f>
        <v>6.6512467045275808E-3</v>
      </c>
      <c r="V32" s="51">
        <f>V31/SUM($E$31:$W$31)</f>
        <v>5.5427055871063169E-3</v>
      </c>
      <c r="W32" s="52">
        <f>W31/SUM($G$31:$W$31)</f>
        <v>9.9768700567913707E-3</v>
      </c>
      <c r="X32" s="2"/>
    </row>
    <row r="33" spans="2:32">
      <c r="B33" s="7"/>
      <c r="C33" s="23" t="s">
        <v>78</v>
      </c>
      <c r="D33" s="33"/>
      <c r="E33" s="33"/>
      <c r="F33" s="33"/>
      <c r="G33" s="47">
        <v>0</v>
      </c>
      <c r="H33" s="47">
        <v>0</v>
      </c>
      <c r="I33" s="47">
        <v>0</v>
      </c>
      <c r="J33" s="47">
        <v>0</v>
      </c>
      <c r="K33" s="47">
        <v>0.17871881695021938</v>
      </c>
      <c r="L33" s="47">
        <v>0.16368098659598554</v>
      </c>
      <c r="M33" s="47">
        <v>7.808103600868567E-2</v>
      </c>
      <c r="N33" s="47">
        <v>3.591994333066003E-2</v>
      </c>
      <c r="O33" s="47">
        <v>7.808103600868567E-2</v>
      </c>
      <c r="P33" s="47">
        <f>P31/SUM($K$31:$W$31,$U$221)</f>
        <v>0.12156509536928517</v>
      </c>
      <c r="Q33" s="47">
        <v>4.3702597718969706E-2</v>
      </c>
      <c r="R33" s="47">
        <v>7.064255521696472E-2</v>
      </c>
      <c r="S33" s="47">
        <v>1.7959971665330015E-2</v>
      </c>
      <c r="T33" s="63">
        <v>1.4966643054441679E-2</v>
      </c>
      <c r="U33" s="63">
        <v>7.183988666132006E-3</v>
      </c>
      <c r="V33" s="64">
        <v>5.9866572217766719E-3</v>
      </c>
      <c r="W33" s="52">
        <v>1.0775982999198009E-2</v>
      </c>
      <c r="X33" s="2"/>
    </row>
    <row r="34" spans="2:32">
      <c r="B34" s="7"/>
      <c r="C34" s="65" t="s">
        <v>79</v>
      </c>
      <c r="D34" s="33"/>
      <c r="E34" s="33"/>
      <c r="F34" s="33"/>
      <c r="G34" s="48">
        <f>1-SUM($G$33:$J$33)</f>
        <v>1</v>
      </c>
      <c r="H34" s="48">
        <f t="shared" ref="H34:J34" si="4">1-SUM($G$33:$J$33)</f>
        <v>1</v>
      </c>
      <c r="I34" s="48">
        <f t="shared" si="4"/>
        <v>1</v>
      </c>
      <c r="J34" s="48">
        <f t="shared" si="4"/>
        <v>1</v>
      </c>
      <c r="K34" s="48">
        <f>1-SUM($G$33:$O$33)</f>
        <v>0.46551818110576371</v>
      </c>
      <c r="L34" s="48">
        <f>1-SUM($G$33:$N$33)</f>
        <v>0.54359921711444947</v>
      </c>
      <c r="M34" s="48">
        <f>1-SUM($G$33:$N$33)</f>
        <v>0.54359921711444947</v>
      </c>
      <c r="N34" s="48">
        <f>1-SUM($G$33:$N$33)</f>
        <v>0.54359921711444947</v>
      </c>
      <c r="O34" s="48">
        <f>1-SUM($G$33:$N$33)</f>
        <v>0.54359921711444947</v>
      </c>
      <c r="P34" s="48">
        <f>1-SUM(P33)</f>
        <v>0.87843490463071483</v>
      </c>
      <c r="Q34" s="48">
        <f t="shared" ref="Q34:R34" si="5">1-SUM($G$33:$S$33,-$P$33)</f>
        <v>0.33321305650449928</v>
      </c>
      <c r="R34" s="48">
        <f t="shared" si="5"/>
        <v>0.33321305650449928</v>
      </c>
      <c r="S34" s="48">
        <f>1-SUM($G$33:$S$33,-$P$33)</f>
        <v>0.33321305650449928</v>
      </c>
      <c r="T34" s="50">
        <f t="shared" ref="T34" si="6">1-SUM($G$33:$W$33,-$P$33)</f>
        <v>0.29429978456295081</v>
      </c>
      <c r="U34" s="50">
        <f>1-SUM($G$33:$W$33,-$P$33)</f>
        <v>0.29429978456295081</v>
      </c>
      <c r="V34" s="51">
        <f t="shared" ref="V34:W34" si="7">1-SUM($G$33:$W$33,-$P$33)</f>
        <v>0.29429978456295081</v>
      </c>
      <c r="W34" s="52">
        <f t="shared" si="7"/>
        <v>0.29429978456295081</v>
      </c>
      <c r="X34" s="2"/>
      <c r="AF34" s="26"/>
    </row>
    <row r="35" spans="2:32">
      <c r="B35" s="7"/>
      <c r="C35" s="23" t="s">
        <v>80</v>
      </c>
      <c r="D35" s="33"/>
      <c r="E35" s="33"/>
      <c r="F35" s="33"/>
      <c r="G35" s="59">
        <v>0</v>
      </c>
      <c r="H35" s="59">
        <v>0</v>
      </c>
      <c r="I35" s="59">
        <v>0</v>
      </c>
      <c r="J35" s="59">
        <v>0</v>
      </c>
      <c r="K35" s="59">
        <v>298528561.64893413</v>
      </c>
      <c r="L35" s="59">
        <v>273409651.71780723</v>
      </c>
      <c r="M35" s="59">
        <v>130425098.87598577</v>
      </c>
      <c r="N35" s="59">
        <v>60000000</v>
      </c>
      <c r="O35" s="59">
        <v>130425098.87598577</v>
      </c>
      <c r="P35" s="59">
        <v>0</v>
      </c>
      <c r="Q35" s="59">
        <v>73000000</v>
      </c>
      <c r="R35" s="59">
        <v>118000000</v>
      </c>
      <c r="S35" s="59">
        <v>30000000</v>
      </c>
      <c r="T35" s="60">
        <v>25000000</v>
      </c>
      <c r="U35" s="61">
        <v>12000000</v>
      </c>
      <c r="V35" s="61">
        <v>10000000</v>
      </c>
      <c r="W35" s="62">
        <v>18000000</v>
      </c>
      <c r="X35" s="2"/>
      <c r="Y35" s="26"/>
      <c r="AF35" s="26"/>
    </row>
    <row r="36" spans="2:32">
      <c r="B36" s="7"/>
      <c r="C36" s="23" t="s">
        <v>81</v>
      </c>
      <c r="D36" s="33"/>
      <c r="E36" s="33"/>
      <c r="F36" s="33"/>
      <c r="G36" s="59">
        <f>G35*G30*$K$16/365</f>
        <v>0</v>
      </c>
      <c r="H36" s="59">
        <f t="shared" ref="H36:L36" si="8">H35*H30*$K$16/365</f>
        <v>0</v>
      </c>
      <c r="I36" s="59">
        <f t="shared" si="8"/>
        <v>0</v>
      </c>
      <c r="J36" s="59">
        <f t="shared" si="8"/>
        <v>0</v>
      </c>
      <c r="K36" s="59">
        <f>K35*K30*$K$16/365</f>
        <v>7086152.0206989925</v>
      </c>
      <c r="L36" s="59">
        <f t="shared" si="8"/>
        <v>6595524.6991294753</v>
      </c>
      <c r="M36" s="59">
        <f>M35*M30*$K$16/365</f>
        <v>3196658.4275139486</v>
      </c>
      <c r="N36" s="59">
        <v>0</v>
      </c>
      <c r="O36" s="59">
        <f t="shared" ref="O36:W36" si="9">O35*O30*$K$16/365</f>
        <v>3146275.0331536359</v>
      </c>
      <c r="P36" s="59">
        <f t="shared" si="9"/>
        <v>0</v>
      </c>
      <c r="Q36" s="59">
        <f t="shared" si="9"/>
        <v>1789196</v>
      </c>
      <c r="R36" s="59">
        <f t="shared" si="9"/>
        <v>2965058.7397260265</v>
      </c>
      <c r="S36" s="59">
        <f t="shared" si="9"/>
        <v>754601.09589041094</v>
      </c>
      <c r="T36" s="59">
        <f t="shared" si="9"/>
        <v>696436.98630136973</v>
      </c>
      <c r="U36" s="66">
        <f t="shared" si="9"/>
        <v>340470.57534246572</v>
      </c>
      <c r="V36" s="66">
        <f t="shared" si="9"/>
        <v>275999.45205479447</v>
      </c>
      <c r="W36" s="67">
        <f t="shared" si="9"/>
        <v>496799.01369863003</v>
      </c>
      <c r="X36" s="2"/>
      <c r="Y36" s="8"/>
    </row>
    <row r="37" spans="2:32">
      <c r="B37" s="7"/>
      <c r="C37" s="23" t="s">
        <v>82</v>
      </c>
      <c r="D37" s="33"/>
      <c r="E37" s="33"/>
      <c r="F37" s="33"/>
      <c r="G37" s="59">
        <f t="shared" ref="G37:W37" si="10">G36</f>
        <v>0</v>
      </c>
      <c r="H37" s="59">
        <f t="shared" si="10"/>
        <v>0</v>
      </c>
      <c r="I37" s="59">
        <f t="shared" si="10"/>
        <v>0</v>
      </c>
      <c r="J37" s="59">
        <f t="shared" si="10"/>
        <v>0</v>
      </c>
      <c r="K37" s="59">
        <f t="shared" si="10"/>
        <v>7086152.0206989925</v>
      </c>
      <c r="L37" s="59">
        <f t="shared" si="10"/>
        <v>6595524.6991294753</v>
      </c>
      <c r="M37" s="59">
        <f t="shared" si="10"/>
        <v>3196658.4275139486</v>
      </c>
      <c r="N37" s="59">
        <f t="shared" si="10"/>
        <v>0</v>
      </c>
      <c r="O37" s="59">
        <f t="shared" si="10"/>
        <v>3146275.0331536359</v>
      </c>
      <c r="P37" s="59">
        <f t="shared" si="10"/>
        <v>0</v>
      </c>
      <c r="Q37" s="59">
        <f t="shared" si="10"/>
        <v>1789196</v>
      </c>
      <c r="R37" s="59">
        <f t="shared" si="10"/>
        <v>2965058.7397260265</v>
      </c>
      <c r="S37" s="59">
        <f t="shared" si="10"/>
        <v>754601.09589041094</v>
      </c>
      <c r="T37" s="60">
        <f t="shared" si="10"/>
        <v>696436.98630136973</v>
      </c>
      <c r="U37" s="61">
        <f t="shared" si="10"/>
        <v>340470.57534246572</v>
      </c>
      <c r="V37" s="61">
        <f t="shared" si="10"/>
        <v>275999.45205479447</v>
      </c>
      <c r="W37" s="62">
        <f t="shared" si="10"/>
        <v>496799.01369863003</v>
      </c>
      <c r="X37" s="2"/>
      <c r="Y37" s="68"/>
    </row>
    <row r="38" spans="2:32">
      <c r="B38" s="7"/>
      <c r="C38" s="23" t="s">
        <v>83</v>
      </c>
      <c r="D38" s="33"/>
      <c r="E38" s="33"/>
      <c r="F38" s="33"/>
      <c r="G38" s="59">
        <f t="shared" ref="G38:W38" si="11">G36-G37</f>
        <v>0</v>
      </c>
      <c r="H38" s="59">
        <f t="shared" si="11"/>
        <v>0</v>
      </c>
      <c r="I38" s="59">
        <f t="shared" si="11"/>
        <v>0</v>
      </c>
      <c r="J38" s="59">
        <f t="shared" si="11"/>
        <v>0</v>
      </c>
      <c r="K38" s="59">
        <f t="shared" si="11"/>
        <v>0</v>
      </c>
      <c r="L38" s="59">
        <f t="shared" si="11"/>
        <v>0</v>
      </c>
      <c r="M38" s="59">
        <f t="shared" si="11"/>
        <v>0</v>
      </c>
      <c r="N38" s="59">
        <f t="shared" si="11"/>
        <v>0</v>
      </c>
      <c r="O38" s="59">
        <f t="shared" si="11"/>
        <v>0</v>
      </c>
      <c r="P38" s="59">
        <f t="shared" si="11"/>
        <v>0</v>
      </c>
      <c r="Q38" s="59">
        <f t="shared" si="11"/>
        <v>0</v>
      </c>
      <c r="R38" s="59">
        <f t="shared" si="11"/>
        <v>0</v>
      </c>
      <c r="S38" s="59">
        <f t="shared" si="11"/>
        <v>0</v>
      </c>
      <c r="T38" s="69">
        <f t="shared" si="11"/>
        <v>0</v>
      </c>
      <c r="U38" s="69">
        <f t="shared" si="11"/>
        <v>0</v>
      </c>
      <c r="V38" s="61">
        <f t="shared" si="11"/>
        <v>0</v>
      </c>
      <c r="W38" s="62">
        <f t="shared" si="11"/>
        <v>0</v>
      </c>
      <c r="X38" s="2"/>
      <c r="AF38" s="8"/>
    </row>
    <row r="39" spans="2:32">
      <c r="B39" s="7"/>
      <c r="C39" s="23" t="s">
        <v>84</v>
      </c>
      <c r="D39" s="33"/>
      <c r="E39" s="33"/>
      <c r="F39" s="33"/>
      <c r="G39" s="59" t="s">
        <v>72</v>
      </c>
      <c r="H39" s="59" t="s">
        <v>72</v>
      </c>
      <c r="I39" s="59" t="s">
        <v>72</v>
      </c>
      <c r="J39" s="59" t="s">
        <v>72</v>
      </c>
      <c r="K39" s="70">
        <f>$L$165*K35/SUM($K$35:$M$35,$O$35)-1</f>
        <v>2639004.5992702236</v>
      </c>
      <c r="L39" s="59">
        <f>$L$165*L35/SUM($K$35:$M$35,$O$35)</f>
        <v>2416953.3320109076</v>
      </c>
      <c r="M39" s="59">
        <f>$L$165*M35/SUM($K$35:$M$35,$O$35)</f>
        <v>1152963.6036094434</v>
      </c>
      <c r="N39" s="59">
        <v>0</v>
      </c>
      <c r="O39" s="59">
        <f>$L$165*O35/SUM($K$35:$M$35,$O$35)</f>
        <v>1152963.6036094434</v>
      </c>
      <c r="P39" s="59">
        <v>0</v>
      </c>
      <c r="Q39" s="59">
        <v>0</v>
      </c>
      <c r="R39" s="59">
        <v>0</v>
      </c>
      <c r="S39" s="59">
        <v>0</v>
      </c>
      <c r="T39" s="59">
        <v>0</v>
      </c>
      <c r="U39" s="66">
        <v>0</v>
      </c>
      <c r="V39" s="66">
        <v>0</v>
      </c>
      <c r="W39" s="67">
        <v>0</v>
      </c>
      <c r="X39" s="2"/>
      <c r="Y39" s="26"/>
      <c r="Z39" s="26"/>
      <c r="AF39" s="8"/>
    </row>
    <row r="40" spans="2:32">
      <c r="B40" s="7"/>
      <c r="C40" s="23" t="s">
        <v>85</v>
      </c>
      <c r="D40" s="33"/>
      <c r="E40" s="33"/>
      <c r="F40" s="33"/>
      <c r="G40" s="59" t="s">
        <v>72</v>
      </c>
      <c r="H40" s="59" t="s">
        <v>72</v>
      </c>
      <c r="I40" s="59" t="s">
        <v>72</v>
      </c>
      <c r="J40" s="59" t="s">
        <v>72</v>
      </c>
      <c r="K40" s="59">
        <f t="shared" ref="K40:O40" si="12">K35-K39</f>
        <v>295889557.0496639</v>
      </c>
      <c r="L40" s="59">
        <f t="shared" si="12"/>
        <v>270992698.38579631</v>
      </c>
      <c r="M40" s="59">
        <f t="shared" si="12"/>
        <v>129272135.27237633</v>
      </c>
      <c r="N40" s="59">
        <f t="shared" si="12"/>
        <v>60000000</v>
      </c>
      <c r="O40" s="59">
        <f t="shared" si="12"/>
        <v>129272135.27237633</v>
      </c>
      <c r="P40" s="59" t="s">
        <v>72</v>
      </c>
      <c r="Q40" s="59">
        <f t="shared" ref="Q40:W40" si="13">Q35-Q39</f>
        <v>73000000</v>
      </c>
      <c r="R40" s="59">
        <f t="shared" si="13"/>
        <v>118000000</v>
      </c>
      <c r="S40" s="59">
        <f t="shared" si="13"/>
        <v>30000000</v>
      </c>
      <c r="T40" s="60">
        <f t="shared" si="13"/>
        <v>25000000</v>
      </c>
      <c r="U40" s="60">
        <f t="shared" si="13"/>
        <v>12000000</v>
      </c>
      <c r="V40" s="61">
        <f t="shared" si="13"/>
        <v>10000000</v>
      </c>
      <c r="W40" s="67">
        <f t="shared" si="13"/>
        <v>18000000</v>
      </c>
      <c r="X40" s="71"/>
      <c r="Y40" s="26"/>
      <c r="AF40" s="8"/>
    </row>
    <row r="41" spans="2:32">
      <c r="B41" s="7"/>
      <c r="C41" s="65" t="s">
        <v>86</v>
      </c>
      <c r="D41" s="33"/>
      <c r="E41" s="33"/>
      <c r="F41" s="33"/>
      <c r="G41" s="59" t="s">
        <v>72</v>
      </c>
      <c r="H41" s="59" t="s">
        <v>72</v>
      </c>
      <c r="I41" s="59" t="s">
        <v>72</v>
      </c>
      <c r="J41" s="59" t="s">
        <v>72</v>
      </c>
      <c r="K41" s="48">
        <f>K40/SUM($K$40:$W$40)</f>
        <v>0.25258908731136415</v>
      </c>
      <c r="L41" s="48">
        <f>L40/SUM($K$40:$W$40)</f>
        <v>0.23133563426783271</v>
      </c>
      <c r="M41" s="48">
        <f>M40/SUM($K$40:$W$40)</f>
        <v>0.11035445450939016</v>
      </c>
      <c r="N41" s="48">
        <f t="shared" ref="N41:W41" si="14">N40/SUM($K$40:$W$40)</f>
        <v>5.1219601630408611E-2</v>
      </c>
      <c r="O41" s="48">
        <f t="shared" si="14"/>
        <v>0.11035445450939016</v>
      </c>
      <c r="P41" s="59" t="s">
        <v>72</v>
      </c>
      <c r="Q41" s="48">
        <f t="shared" si="14"/>
        <v>6.2317181983663816E-2</v>
      </c>
      <c r="R41" s="48">
        <f t="shared" si="14"/>
        <v>0.10073188320647028</v>
      </c>
      <c r="S41" s="48">
        <f t="shared" si="14"/>
        <v>2.5609800815204305E-2</v>
      </c>
      <c r="T41" s="48">
        <f t="shared" si="14"/>
        <v>2.1341500679336923E-2</v>
      </c>
      <c r="U41" s="48">
        <f t="shared" si="14"/>
        <v>1.0243920326081722E-2</v>
      </c>
      <c r="V41" s="72">
        <f t="shared" si="14"/>
        <v>8.5366002717347685E-3</v>
      </c>
      <c r="W41" s="52">
        <f t="shared" si="14"/>
        <v>1.5365880489122585E-2</v>
      </c>
      <c r="X41" s="2"/>
      <c r="AD41" s="8"/>
    </row>
    <row r="42" spans="2:32">
      <c r="B42" s="7"/>
      <c r="C42" s="65" t="s">
        <v>87</v>
      </c>
      <c r="D42" s="33"/>
      <c r="E42" s="33"/>
      <c r="F42" s="33"/>
      <c r="G42" s="48">
        <v>0</v>
      </c>
      <c r="H42" s="48">
        <v>0</v>
      </c>
      <c r="I42" s="48">
        <v>0</v>
      </c>
      <c r="J42" s="48">
        <v>0</v>
      </c>
      <c r="K42" s="48">
        <v>0.22103316029732725</v>
      </c>
      <c r="L42" s="48">
        <v>0.20243489881482796</v>
      </c>
      <c r="M42" s="48">
        <v>9.6567884593645847E-2</v>
      </c>
      <c r="N42" s="48">
        <v>4.4820742408336035E-2</v>
      </c>
      <c r="O42" s="48">
        <v>9.6567884593645847E-2</v>
      </c>
      <c r="P42" s="48">
        <v>0</v>
      </c>
      <c r="Q42" s="48">
        <v>5.4531903263475512E-2</v>
      </c>
      <c r="R42" s="48">
        <v>8.814746006972754E-2</v>
      </c>
      <c r="S42" s="48">
        <v>2.2410371204168018E-2</v>
      </c>
      <c r="T42" s="50">
        <v>1.8675309336806681E-2</v>
      </c>
      <c r="U42" s="50">
        <v>8.9641484816672078E-3</v>
      </c>
      <c r="V42" s="51">
        <v>7.4701237347226728E-3</v>
      </c>
      <c r="W42" s="52">
        <v>1.3446222722500812E-2</v>
      </c>
      <c r="X42" s="2"/>
      <c r="AD42" s="6"/>
    </row>
    <row r="43" spans="2:32">
      <c r="B43" s="7"/>
      <c r="C43" s="73" t="s">
        <v>88</v>
      </c>
      <c r="D43" s="33"/>
      <c r="E43" s="33"/>
      <c r="F43" s="33"/>
      <c r="G43" s="74" t="s">
        <v>72</v>
      </c>
      <c r="H43" s="74" t="s">
        <v>72</v>
      </c>
      <c r="I43" s="74" t="s">
        <v>72</v>
      </c>
      <c r="J43" s="74" t="s">
        <v>72</v>
      </c>
      <c r="K43" s="48">
        <f>1-SUM($G$42:$P$42)</f>
        <v>0.33857542929221707</v>
      </c>
      <c r="L43" s="48">
        <f>1-SUM($G$42:$P$42)</f>
        <v>0.33857542929221707</v>
      </c>
      <c r="M43" s="48">
        <f>1-SUM($G$42:$P$42)</f>
        <v>0.33857542929221707</v>
      </c>
      <c r="N43" s="48">
        <f>1-SUM($G$42:$P$42)</f>
        <v>0.33857542929221707</v>
      </c>
      <c r="O43" s="48">
        <f>1-SUM($G$42:$P$42)</f>
        <v>0.33857542929221707</v>
      </c>
      <c r="P43" s="74" t="s">
        <v>72</v>
      </c>
      <c r="Q43" s="48">
        <f>1-SUM($G$42:$S$42)</f>
        <v>0.17348569475484599</v>
      </c>
      <c r="R43" s="48">
        <f>1-SUM($G$42:$S$42)</f>
        <v>0.17348569475484599</v>
      </c>
      <c r="S43" s="48">
        <f>1-SUM($G$42:$S$42)</f>
        <v>0.17348569475484599</v>
      </c>
      <c r="T43" s="50">
        <f>1-SUM($G$42:$W$42)</f>
        <v>0.1249298904791486</v>
      </c>
      <c r="U43" s="51">
        <f>1-SUM($G$42:$W$42)</f>
        <v>0.1249298904791486</v>
      </c>
      <c r="V43" s="51">
        <f>1-SUM($G$42:$W$42)</f>
        <v>0.1249298904791486</v>
      </c>
      <c r="W43" s="52">
        <f>1-SUM($G$42:$W$42)</f>
        <v>0.1249298904791486</v>
      </c>
      <c r="X43" s="2"/>
    </row>
    <row r="44" spans="2:32">
      <c r="B44" s="7"/>
      <c r="C44" s="23" t="s">
        <v>89</v>
      </c>
      <c r="D44" s="33"/>
      <c r="E44" s="33"/>
      <c r="F44" s="33"/>
      <c r="G44" s="75">
        <v>52366</v>
      </c>
      <c r="H44" s="75">
        <v>52366</v>
      </c>
      <c r="I44" s="75">
        <v>52366</v>
      </c>
      <c r="J44" s="75">
        <v>52366</v>
      </c>
      <c r="K44" s="75">
        <v>52366</v>
      </c>
      <c r="L44" s="75">
        <v>52366</v>
      </c>
      <c r="M44" s="75">
        <v>52366</v>
      </c>
      <c r="N44" s="75">
        <v>52366</v>
      </c>
      <c r="O44" s="75">
        <v>52366</v>
      </c>
      <c r="P44" s="75">
        <v>52366</v>
      </c>
      <c r="Q44" s="75">
        <v>52366</v>
      </c>
      <c r="R44" s="75">
        <v>52366</v>
      </c>
      <c r="S44" s="75">
        <v>52366</v>
      </c>
      <c r="T44" s="76">
        <v>52366</v>
      </c>
      <c r="U44" s="77">
        <v>52366</v>
      </c>
      <c r="V44" s="77">
        <v>52366</v>
      </c>
      <c r="W44" s="78">
        <v>52366</v>
      </c>
      <c r="X44" s="2"/>
    </row>
    <row r="45" spans="2:32">
      <c r="B45" s="7"/>
      <c r="C45" s="36" t="s">
        <v>90</v>
      </c>
      <c r="D45" s="37"/>
      <c r="E45" s="37"/>
      <c r="F45" s="37"/>
      <c r="G45" s="75">
        <v>45427</v>
      </c>
      <c r="H45" s="75">
        <v>45427</v>
      </c>
      <c r="I45" s="75">
        <v>45427</v>
      </c>
      <c r="J45" s="75">
        <v>45427</v>
      </c>
      <c r="K45" s="75">
        <v>46157</v>
      </c>
      <c r="L45" s="75">
        <v>46157</v>
      </c>
      <c r="M45" s="75">
        <v>46157</v>
      </c>
      <c r="N45" s="75">
        <v>46157</v>
      </c>
      <c r="O45" s="75">
        <v>46157</v>
      </c>
      <c r="P45" s="75">
        <v>46157</v>
      </c>
      <c r="Q45" s="75">
        <v>46157</v>
      </c>
      <c r="R45" s="75">
        <v>46157</v>
      </c>
      <c r="S45" s="75">
        <v>46157</v>
      </c>
      <c r="T45" s="76">
        <v>46157</v>
      </c>
      <c r="U45" s="77">
        <v>46157</v>
      </c>
      <c r="V45" s="77">
        <v>46157</v>
      </c>
      <c r="W45" s="78">
        <v>46157</v>
      </c>
      <c r="X45" s="2"/>
    </row>
    <row r="46" spans="2:32">
      <c r="B46" s="7"/>
      <c r="C46" s="36" t="s">
        <v>91</v>
      </c>
      <c r="D46" s="37"/>
      <c r="E46" s="37"/>
      <c r="F46" s="37"/>
      <c r="G46" s="74" t="s">
        <v>72</v>
      </c>
      <c r="H46" s="74" t="str">
        <f>G46</f>
        <v>N/A</v>
      </c>
      <c r="I46" s="74" t="str">
        <f t="shared" ref="I46:M46" si="15">H46</f>
        <v>N/A</v>
      </c>
      <c r="J46" s="74" t="str">
        <f t="shared" si="15"/>
        <v>N/A</v>
      </c>
      <c r="K46" s="48">
        <v>6.8919999999999995E-2</v>
      </c>
      <c r="L46" s="48">
        <f t="shared" si="15"/>
        <v>6.8919999999999995E-2</v>
      </c>
      <c r="M46" s="48">
        <f t="shared" si="15"/>
        <v>6.8919999999999995E-2</v>
      </c>
      <c r="N46" s="48">
        <f>O46</f>
        <v>6.8919999999999995E-2</v>
      </c>
      <c r="O46" s="48">
        <f>M46</f>
        <v>6.8919999999999995E-2</v>
      </c>
      <c r="P46" s="74" t="s">
        <v>72</v>
      </c>
      <c r="Q46" s="48">
        <f>N46</f>
        <v>6.8919999999999995E-2</v>
      </c>
      <c r="R46" s="48">
        <f t="shared" ref="R46:W46" si="16">Q46</f>
        <v>6.8919999999999995E-2</v>
      </c>
      <c r="S46" s="48">
        <f t="shared" si="16"/>
        <v>6.8919999999999995E-2</v>
      </c>
      <c r="T46" s="50">
        <f t="shared" si="16"/>
        <v>6.8919999999999995E-2</v>
      </c>
      <c r="U46" s="50">
        <f t="shared" si="16"/>
        <v>6.8919999999999995E-2</v>
      </c>
      <c r="V46" s="51">
        <f t="shared" si="16"/>
        <v>6.8919999999999995E-2</v>
      </c>
      <c r="W46" s="52">
        <f t="shared" si="16"/>
        <v>6.8919999999999995E-2</v>
      </c>
      <c r="X46" s="2"/>
    </row>
    <row r="47" spans="2:32">
      <c r="B47" s="7"/>
      <c r="C47" s="36" t="s">
        <v>92</v>
      </c>
      <c r="D47" s="37"/>
      <c r="E47" s="37"/>
      <c r="F47" s="37"/>
      <c r="G47" s="74" t="s">
        <v>72</v>
      </c>
      <c r="H47" s="74" t="s">
        <v>72</v>
      </c>
      <c r="I47" s="74" t="s">
        <v>72</v>
      </c>
      <c r="J47" s="74" t="s">
        <v>72</v>
      </c>
      <c r="K47" s="48">
        <f t="shared" ref="K47:M47" si="17">K46+K27</f>
        <v>9.0920000000000001E-2</v>
      </c>
      <c r="L47" s="48">
        <f t="shared" si="17"/>
        <v>9.2420000000000002E-2</v>
      </c>
      <c r="M47" s="48">
        <f t="shared" si="17"/>
        <v>9.3920000000000003E-2</v>
      </c>
      <c r="N47" s="55">
        <f>N30</f>
        <v>0.10235</v>
      </c>
      <c r="O47" s="48">
        <f t="shared" ref="O47:W47" si="18">O46+O27</f>
        <v>9.2420000000000002E-2</v>
      </c>
      <c r="P47" s="74" t="s">
        <v>72</v>
      </c>
      <c r="Q47" s="48">
        <f t="shared" si="18"/>
        <v>9.3920000000000003E-2</v>
      </c>
      <c r="R47" s="48">
        <f t="shared" si="18"/>
        <v>9.6319999999999989E-2</v>
      </c>
      <c r="S47" s="48">
        <f t="shared" si="18"/>
        <v>9.6419999999999992E-2</v>
      </c>
      <c r="T47" s="50">
        <f t="shared" si="18"/>
        <v>0.10691999999999999</v>
      </c>
      <c r="U47" s="51">
        <f t="shared" si="18"/>
        <v>0.10891999999999999</v>
      </c>
      <c r="V47" s="51">
        <f t="shared" si="18"/>
        <v>0.10591999999999999</v>
      </c>
      <c r="W47" s="52">
        <f t="shared" si="18"/>
        <v>0.10591999999999999</v>
      </c>
      <c r="X47" s="2"/>
    </row>
    <row r="48" spans="2:32">
      <c r="B48" s="7"/>
      <c r="C48" s="23" t="s">
        <v>93</v>
      </c>
      <c r="D48" s="33"/>
      <c r="E48" s="33"/>
      <c r="F48" s="33"/>
      <c r="G48" s="79" t="s">
        <v>94</v>
      </c>
      <c r="H48" s="79" t="s">
        <v>94</v>
      </c>
      <c r="I48" s="79" t="s">
        <v>94</v>
      </c>
      <c r="J48" s="79" t="s">
        <v>94</v>
      </c>
      <c r="K48" s="79" t="s">
        <v>95</v>
      </c>
      <c r="L48" s="79" t="s">
        <v>95</v>
      </c>
      <c r="M48" s="79" t="s">
        <v>95</v>
      </c>
      <c r="N48" s="79" t="s">
        <v>95</v>
      </c>
      <c r="O48" s="79" t="s">
        <v>95</v>
      </c>
      <c r="P48" s="79" t="s">
        <v>94</v>
      </c>
      <c r="Q48" s="79" t="s">
        <v>100</v>
      </c>
      <c r="R48" s="79" t="s">
        <v>100</v>
      </c>
      <c r="S48" s="79" t="s">
        <v>96</v>
      </c>
      <c r="T48" s="80" t="s">
        <v>97</v>
      </c>
      <c r="U48" s="81" t="s">
        <v>97</v>
      </c>
      <c r="V48" s="81" t="s">
        <v>97</v>
      </c>
      <c r="W48" s="82" t="s">
        <v>97</v>
      </c>
      <c r="X48" s="2"/>
    </row>
    <row r="49" spans="2:33" ht="29.5" thickBot="1">
      <c r="B49" s="7"/>
      <c r="C49" s="83" t="s">
        <v>98</v>
      </c>
      <c r="D49" s="84"/>
      <c r="E49" s="84"/>
      <c r="F49" s="84"/>
      <c r="G49" s="85" t="s">
        <v>99</v>
      </c>
      <c r="H49" s="86" t="s">
        <v>99</v>
      </c>
      <c r="I49" s="85" t="s">
        <v>99</v>
      </c>
      <c r="J49" s="86" t="s">
        <v>99</v>
      </c>
      <c r="K49" s="87" t="s">
        <v>94</v>
      </c>
      <c r="L49" s="88" t="s">
        <v>94</v>
      </c>
      <c r="M49" s="88" t="s">
        <v>94</v>
      </c>
      <c r="N49" s="88" t="s">
        <v>94</v>
      </c>
      <c r="O49" s="88" t="s">
        <v>94</v>
      </c>
      <c r="P49" s="89" t="str">
        <f>P48</f>
        <v>AAA(za)(sf)</v>
      </c>
      <c r="Q49" s="89" t="s">
        <v>96</v>
      </c>
      <c r="R49" s="89" t="s">
        <v>96</v>
      </c>
      <c r="S49" s="89" t="s">
        <v>96</v>
      </c>
      <c r="T49" s="89" t="s">
        <v>100</v>
      </c>
      <c r="U49" s="87" t="s">
        <v>100</v>
      </c>
      <c r="V49" s="87" t="s">
        <v>100</v>
      </c>
      <c r="W49" s="90" t="s">
        <v>100</v>
      </c>
      <c r="X49" s="2"/>
      <c r="AF49" s="8"/>
    </row>
    <row r="50" spans="2:33" ht="15" thickBot="1">
      <c r="B50" s="7"/>
      <c r="C50" s="9"/>
      <c r="D50" s="9"/>
      <c r="E50" s="9"/>
      <c r="F50" s="9"/>
      <c r="G50" s="91"/>
      <c r="H50" s="92"/>
      <c r="I50" s="9"/>
      <c r="J50" s="92"/>
      <c r="K50" s="9"/>
      <c r="L50" s="92"/>
      <c r="M50" s="92"/>
      <c r="N50" s="92"/>
      <c r="O50" s="92"/>
      <c r="P50" s="9"/>
      <c r="Q50" s="9"/>
      <c r="R50" s="9"/>
      <c r="S50" s="9"/>
      <c r="T50" s="9"/>
      <c r="U50" s="9"/>
      <c r="V50" s="9"/>
      <c r="W50" s="2"/>
      <c r="X50" s="2"/>
      <c r="Z50" s="26"/>
      <c r="AE50" s="93"/>
    </row>
    <row r="51" spans="2:33" ht="15" thickBot="1">
      <c r="B51" s="7"/>
      <c r="C51" s="282" t="s">
        <v>101</v>
      </c>
      <c r="D51" s="283"/>
      <c r="E51" s="283"/>
      <c r="F51" s="283"/>
      <c r="G51" s="283"/>
      <c r="H51" s="283"/>
      <c r="I51" s="283"/>
      <c r="J51" s="283"/>
      <c r="K51" s="283"/>
      <c r="L51" s="283"/>
      <c r="M51" s="283"/>
      <c r="N51" s="283"/>
      <c r="O51" s="283"/>
      <c r="P51" s="283"/>
      <c r="Q51" s="283"/>
      <c r="R51" s="283"/>
      <c r="S51" s="283"/>
      <c r="T51" s="283"/>
      <c r="U51" s="283"/>
      <c r="V51" s="283"/>
      <c r="W51" s="284"/>
      <c r="X51" s="2"/>
    </row>
    <row r="52" spans="2:33" ht="15" thickBot="1">
      <c r="B52" s="7"/>
      <c r="C52" s="285" t="s">
        <v>102</v>
      </c>
      <c r="D52" s="286"/>
      <c r="E52" s="286"/>
      <c r="F52" s="286"/>
      <c r="G52" s="286"/>
      <c r="H52" s="286"/>
      <c r="I52" s="286"/>
      <c r="J52" s="286"/>
      <c r="K52" s="286"/>
      <c r="L52" s="286"/>
      <c r="M52" s="286"/>
      <c r="N52" s="286"/>
      <c r="O52" s="286"/>
      <c r="P52" s="286"/>
      <c r="Q52" s="286"/>
      <c r="R52" s="286"/>
      <c r="S52" s="286"/>
      <c r="T52" s="286"/>
      <c r="U52" s="286"/>
      <c r="V52" s="286"/>
      <c r="W52" s="287"/>
      <c r="X52" s="2"/>
      <c r="AD52" s="94"/>
    </row>
    <row r="53" spans="2:33">
      <c r="B53" s="7"/>
      <c r="C53" s="36" t="s">
        <v>103</v>
      </c>
      <c r="D53" s="37"/>
      <c r="E53" s="37"/>
      <c r="F53" s="37"/>
      <c r="G53" s="37"/>
      <c r="H53" s="37"/>
      <c r="I53" s="37"/>
      <c r="J53" s="37"/>
      <c r="K53" s="37"/>
      <c r="L53" s="37"/>
      <c r="M53" s="37"/>
      <c r="N53" s="37"/>
      <c r="O53" s="37"/>
      <c r="P53" s="37"/>
      <c r="Q53" s="37"/>
      <c r="R53" s="37"/>
      <c r="S53" s="37"/>
      <c r="T53" s="304">
        <v>78802141.822595045</v>
      </c>
      <c r="U53" s="305"/>
      <c r="V53" s="305"/>
      <c r="W53" s="306"/>
      <c r="X53" s="2"/>
      <c r="Z53" s="6"/>
      <c r="AA53" s="94"/>
      <c r="AB53" s="95"/>
      <c r="AD53" s="96"/>
      <c r="AE53" s="94"/>
      <c r="AF53" s="94"/>
      <c r="AG53" s="94"/>
    </row>
    <row r="54" spans="2:33">
      <c r="B54" s="7"/>
      <c r="C54" s="23" t="s">
        <v>104</v>
      </c>
      <c r="D54" s="33"/>
      <c r="E54" s="33"/>
      <c r="F54" s="33"/>
      <c r="G54" s="33"/>
      <c r="H54" s="33"/>
      <c r="I54" s="33"/>
      <c r="J54" s="33"/>
      <c r="K54" s="33"/>
      <c r="L54" s="33"/>
      <c r="M54" s="33"/>
      <c r="N54" s="33"/>
      <c r="O54" s="33"/>
      <c r="P54" s="33"/>
      <c r="Q54" s="33"/>
      <c r="R54" s="33"/>
      <c r="S54" s="33"/>
      <c r="T54" s="307">
        <v>45552807.409999996</v>
      </c>
      <c r="U54" s="308"/>
      <c r="V54" s="308"/>
      <c r="W54" s="309"/>
      <c r="X54" s="2"/>
      <c r="Y54" s="6"/>
      <c r="AA54" s="6"/>
      <c r="AB54" s="26"/>
      <c r="AD54" s="6"/>
      <c r="AG54" s="94"/>
    </row>
    <row r="55" spans="2:33">
      <c r="B55" s="7"/>
      <c r="C55" s="97" t="s">
        <v>105</v>
      </c>
      <c r="D55" s="98"/>
      <c r="E55" s="98"/>
      <c r="F55" s="98"/>
      <c r="G55" s="98"/>
      <c r="H55" s="98"/>
      <c r="I55" s="98"/>
      <c r="J55" s="98"/>
      <c r="K55" s="98"/>
      <c r="L55" s="98"/>
      <c r="M55" s="98"/>
      <c r="N55" s="98"/>
      <c r="O55" s="98"/>
      <c r="P55" s="98"/>
      <c r="Q55" s="98"/>
      <c r="R55" s="98"/>
      <c r="S55" s="98"/>
      <c r="T55" s="310">
        <f>SUM(T56:U58)</f>
        <v>33249334.412595049</v>
      </c>
      <c r="U55" s="311"/>
      <c r="V55" s="311"/>
      <c r="W55" s="312"/>
      <c r="X55" s="2"/>
      <c r="AA55" s="6"/>
      <c r="AB55" s="26"/>
      <c r="AG55" s="94"/>
    </row>
    <row r="56" spans="2:33">
      <c r="B56" s="7"/>
      <c r="C56" s="73" t="s">
        <v>106</v>
      </c>
      <c r="D56" s="37"/>
      <c r="E56" s="37"/>
      <c r="F56" s="37"/>
      <c r="G56" s="37"/>
      <c r="H56" s="37"/>
      <c r="I56" s="37"/>
      <c r="J56" s="37"/>
      <c r="K56" s="37"/>
      <c r="L56" s="37"/>
      <c r="M56" s="37"/>
      <c r="N56" s="37"/>
      <c r="O56" s="37"/>
      <c r="P56" s="37"/>
      <c r="Q56" s="37"/>
      <c r="R56" s="37"/>
      <c r="S56" s="37"/>
      <c r="T56" s="297">
        <f>T53-T54-T58</f>
        <v>29556.412595048547</v>
      </c>
      <c r="U56" s="298"/>
      <c r="V56" s="100"/>
      <c r="W56" s="101"/>
      <c r="X56" s="2"/>
      <c r="AA56" s="6"/>
      <c r="AE56" s="6"/>
      <c r="AG56" s="102"/>
    </row>
    <row r="57" spans="2:33">
      <c r="B57" s="7"/>
      <c r="C57" s="73" t="s">
        <v>107</v>
      </c>
      <c r="D57" s="37"/>
      <c r="E57" s="37"/>
      <c r="F57" s="37"/>
      <c r="G57" s="37"/>
      <c r="H57" s="37"/>
      <c r="I57" s="37"/>
      <c r="J57" s="37"/>
      <c r="K57" s="37"/>
      <c r="L57" s="37"/>
      <c r="M57" s="37"/>
      <c r="N57" s="37"/>
      <c r="O57" s="37"/>
      <c r="P57" s="37"/>
      <c r="Q57" s="37"/>
      <c r="R57" s="37"/>
      <c r="S57" s="37"/>
      <c r="T57" s="297"/>
      <c r="U57" s="298">
        <v>0</v>
      </c>
      <c r="V57" s="103"/>
      <c r="W57" s="2"/>
      <c r="X57" s="2"/>
      <c r="AE57" s="6"/>
      <c r="AG57" s="104"/>
    </row>
    <row r="58" spans="2:33" ht="15" thickBot="1">
      <c r="B58" s="7"/>
      <c r="C58" s="73" t="s">
        <v>108</v>
      </c>
      <c r="D58" s="37"/>
      <c r="E58" s="37"/>
      <c r="F58" s="37"/>
      <c r="G58" s="37"/>
      <c r="H58" s="37"/>
      <c r="I58" s="37"/>
      <c r="J58" s="37"/>
      <c r="K58" s="37"/>
      <c r="L58" s="37"/>
      <c r="M58" s="37"/>
      <c r="N58" s="37"/>
      <c r="O58" s="37"/>
      <c r="P58" s="37"/>
      <c r="Q58" s="37"/>
      <c r="R58" s="37"/>
      <c r="S58" s="37"/>
      <c r="T58" s="313">
        <f>Q190</f>
        <v>33219778</v>
      </c>
      <c r="U58" s="314"/>
      <c r="V58" s="106"/>
      <c r="W58" s="2"/>
      <c r="X58" s="2"/>
      <c r="Y58" s="6"/>
      <c r="AA58" s="107"/>
      <c r="AD58" s="6"/>
      <c r="AE58" s="8"/>
      <c r="AG58" s="108"/>
    </row>
    <row r="59" spans="2:33" ht="15" thickBot="1">
      <c r="B59" s="7"/>
      <c r="C59" s="285" t="s">
        <v>109</v>
      </c>
      <c r="D59" s="286"/>
      <c r="E59" s="286"/>
      <c r="F59" s="286"/>
      <c r="G59" s="286"/>
      <c r="H59" s="286"/>
      <c r="I59" s="286"/>
      <c r="J59" s="286"/>
      <c r="K59" s="286"/>
      <c r="L59" s="286"/>
      <c r="M59" s="286"/>
      <c r="N59" s="286"/>
      <c r="O59" s="286"/>
      <c r="P59" s="286"/>
      <c r="Q59" s="286"/>
      <c r="R59" s="286"/>
      <c r="S59" s="286"/>
      <c r="T59" s="286"/>
      <c r="U59" s="286"/>
      <c r="V59" s="286"/>
      <c r="W59" s="287"/>
      <c r="X59" s="2"/>
      <c r="AE59" s="6"/>
    </row>
    <row r="60" spans="2:33">
      <c r="B60" s="7"/>
      <c r="C60" s="36" t="s">
        <v>110</v>
      </c>
      <c r="D60" s="37"/>
      <c r="E60" s="37"/>
      <c r="F60" s="37"/>
      <c r="G60" s="37"/>
      <c r="H60" s="37"/>
      <c r="I60" s="37"/>
      <c r="J60" s="37"/>
      <c r="K60" s="37"/>
      <c r="L60" s="37"/>
      <c r="M60" s="37"/>
      <c r="N60" s="37"/>
      <c r="O60" s="37"/>
      <c r="P60" s="37"/>
      <c r="Q60" s="37"/>
      <c r="R60" s="37"/>
      <c r="S60" s="37"/>
      <c r="T60" s="291">
        <f>SUM(L61:U62)</f>
        <v>0</v>
      </c>
      <c r="U60" s="292"/>
      <c r="V60" s="292"/>
      <c r="W60" s="293"/>
      <c r="X60" s="2"/>
      <c r="Z60" s="6"/>
      <c r="AA60" s="6"/>
      <c r="AE60" s="6"/>
      <c r="AG60" s="109"/>
    </row>
    <row r="61" spans="2:33">
      <c r="B61" s="7"/>
      <c r="C61" s="73" t="s">
        <v>111</v>
      </c>
      <c r="D61" s="37"/>
      <c r="E61" s="37"/>
      <c r="F61" s="37"/>
      <c r="G61" s="37"/>
      <c r="H61" s="37"/>
      <c r="I61" s="37"/>
      <c r="J61" s="37"/>
      <c r="K61" s="37"/>
      <c r="L61" s="37"/>
      <c r="M61" s="37"/>
      <c r="N61" s="37"/>
      <c r="O61" s="37"/>
      <c r="P61" s="37"/>
      <c r="Q61" s="37"/>
      <c r="R61" s="37"/>
      <c r="S61" s="37"/>
      <c r="T61" s="110"/>
      <c r="U61" s="106">
        <v>0</v>
      </c>
      <c r="V61" s="103"/>
      <c r="W61" s="111"/>
      <c r="X61" s="2"/>
      <c r="AB61" s="6"/>
    </row>
    <row r="62" spans="2:33">
      <c r="B62" s="7"/>
      <c r="C62" s="73" t="s">
        <v>112</v>
      </c>
      <c r="D62" s="37"/>
      <c r="E62" s="37"/>
      <c r="F62" s="37"/>
      <c r="G62" s="37"/>
      <c r="H62" s="37"/>
      <c r="I62" s="37"/>
      <c r="J62" s="37"/>
      <c r="K62" s="37"/>
      <c r="L62" s="37"/>
      <c r="M62" s="37"/>
      <c r="N62" s="37"/>
      <c r="O62" s="37"/>
      <c r="P62" s="37"/>
      <c r="Q62" s="37"/>
      <c r="R62" s="37"/>
      <c r="S62" s="112"/>
      <c r="T62" s="113"/>
      <c r="U62" s="106">
        <v>0</v>
      </c>
      <c r="V62" s="106"/>
      <c r="W62" s="111"/>
      <c r="X62" s="2"/>
      <c r="Z62" s="8"/>
    </row>
    <row r="63" spans="2:33">
      <c r="B63" s="7"/>
      <c r="C63" s="97" t="s">
        <v>113</v>
      </c>
      <c r="D63" s="98"/>
      <c r="E63" s="98"/>
      <c r="F63" s="98"/>
      <c r="G63" s="98"/>
      <c r="H63" s="98"/>
      <c r="I63" s="98"/>
      <c r="J63" s="98"/>
      <c r="K63" s="98"/>
      <c r="L63" s="98"/>
      <c r="M63" s="98"/>
      <c r="N63" s="98"/>
      <c r="O63" s="98"/>
      <c r="P63" s="98"/>
      <c r="Q63" s="98"/>
      <c r="R63" s="98"/>
      <c r="S63" s="114"/>
      <c r="T63" s="294">
        <f>SUM(K64:U65)</f>
        <v>1155218.1800000002</v>
      </c>
      <c r="U63" s="295"/>
      <c r="V63" s="295"/>
      <c r="W63" s="296"/>
      <c r="X63" s="2"/>
      <c r="AB63" s="26"/>
    </row>
    <row r="64" spans="2:33">
      <c r="B64" s="7"/>
      <c r="C64" s="73" t="s">
        <v>114</v>
      </c>
      <c r="D64" s="37"/>
      <c r="E64" s="37"/>
      <c r="F64" s="37"/>
      <c r="G64" s="37"/>
      <c r="H64" s="37"/>
      <c r="I64" s="37"/>
      <c r="J64" s="37"/>
      <c r="K64" s="37"/>
      <c r="L64" s="37"/>
      <c r="M64" s="37"/>
      <c r="N64" s="37"/>
      <c r="O64" s="37"/>
      <c r="P64" s="37"/>
      <c r="Q64" s="37"/>
      <c r="R64" s="37"/>
      <c r="S64" s="37"/>
      <c r="T64" s="297">
        <v>97391.860000000015</v>
      </c>
      <c r="U64" s="298"/>
      <c r="V64" s="106"/>
      <c r="W64" s="111"/>
      <c r="X64" s="2"/>
    </row>
    <row r="65" spans="2:35">
      <c r="B65" s="7"/>
      <c r="C65" s="115" t="s">
        <v>115</v>
      </c>
      <c r="D65" s="116"/>
      <c r="E65" s="116"/>
      <c r="F65" s="116"/>
      <c r="G65" s="116"/>
      <c r="H65" s="116"/>
      <c r="I65" s="116"/>
      <c r="J65" s="116"/>
      <c r="K65" s="116"/>
      <c r="L65" s="116"/>
      <c r="M65" s="116"/>
      <c r="N65" s="116"/>
      <c r="O65" s="116"/>
      <c r="P65" s="116"/>
      <c r="Q65" s="116"/>
      <c r="R65" s="116"/>
      <c r="S65" s="116"/>
      <c r="T65" s="299">
        <v>1057826.32</v>
      </c>
      <c r="U65" s="300"/>
      <c r="V65" s="106"/>
      <c r="W65" s="111"/>
      <c r="X65" s="2"/>
      <c r="AA65" s="6"/>
    </row>
    <row r="66" spans="2:35">
      <c r="B66" s="7"/>
      <c r="C66" s="97" t="s">
        <v>116</v>
      </c>
      <c r="D66" s="98"/>
      <c r="E66" s="98"/>
      <c r="F66" s="98"/>
      <c r="G66" s="98"/>
      <c r="H66" s="98"/>
      <c r="I66" s="98"/>
      <c r="J66" s="98"/>
      <c r="K66" s="98"/>
      <c r="L66" s="98"/>
      <c r="M66" s="98"/>
      <c r="N66" s="98"/>
      <c r="O66" s="98"/>
      <c r="P66" s="98"/>
      <c r="Q66" s="98"/>
      <c r="R66" s="98"/>
      <c r="S66" s="98"/>
      <c r="T66" s="301">
        <f>SUM(U67:U69,U72,U75:U80)</f>
        <v>286296688.59041774</v>
      </c>
      <c r="U66" s="302"/>
      <c r="V66" s="302"/>
      <c r="W66" s="303"/>
      <c r="X66" s="2"/>
      <c r="Z66" s="26"/>
      <c r="AB66" s="26"/>
      <c r="AD66" s="8"/>
    </row>
    <row r="67" spans="2:35">
      <c r="B67" s="7"/>
      <c r="C67" s="73" t="s">
        <v>117</v>
      </c>
      <c r="D67" s="37"/>
      <c r="E67" s="37"/>
      <c r="F67" s="37"/>
      <c r="G67" s="37"/>
      <c r="H67" s="37"/>
      <c r="I67" s="37"/>
      <c r="J67" s="37"/>
      <c r="K67" s="37"/>
      <c r="L67" s="37"/>
      <c r="M67" s="37"/>
      <c r="N67" s="37"/>
      <c r="O67" s="37"/>
      <c r="P67" s="37"/>
      <c r="Q67" s="37"/>
      <c r="R67" s="37"/>
      <c r="S67" s="37"/>
      <c r="T67" s="110"/>
      <c r="U67" s="106">
        <f>'Servicer Report'!J39</f>
        <v>14077994.848499998</v>
      </c>
      <c r="V67" s="103"/>
      <c r="W67" s="118"/>
      <c r="X67" s="2"/>
      <c r="AA67" s="6"/>
      <c r="AB67" s="26"/>
    </row>
    <row r="68" spans="2:35">
      <c r="B68" s="7"/>
      <c r="C68" s="73" t="s">
        <v>118</v>
      </c>
      <c r="D68" s="37"/>
      <c r="E68" s="37"/>
      <c r="F68" s="37"/>
      <c r="G68" s="37"/>
      <c r="H68" s="37"/>
      <c r="I68" s="37"/>
      <c r="J68" s="37"/>
      <c r="K68" s="37"/>
      <c r="L68" s="37"/>
      <c r="M68" s="37"/>
      <c r="N68" s="37"/>
      <c r="O68" s="37"/>
      <c r="P68" s="37"/>
      <c r="Q68" s="37"/>
      <c r="R68" s="37"/>
      <c r="S68" s="37"/>
      <c r="T68" s="110"/>
      <c r="U68" s="106">
        <f>'Servicer Report'!J42-20000000</f>
        <v>1875953.9200000018</v>
      </c>
      <c r="V68" s="103"/>
      <c r="W68" s="118"/>
      <c r="X68" s="2"/>
      <c r="Z68" s="26"/>
    </row>
    <row r="69" spans="2:35">
      <c r="B69" s="7"/>
      <c r="C69" s="73" t="s">
        <v>119</v>
      </c>
      <c r="D69" s="37"/>
      <c r="E69" s="37"/>
      <c r="F69" s="37"/>
      <c r="G69" s="37"/>
      <c r="H69" s="37"/>
      <c r="I69" s="37"/>
      <c r="J69" s="37"/>
      <c r="K69" s="37"/>
      <c r="L69" s="37"/>
      <c r="M69" s="37"/>
      <c r="N69" s="37"/>
      <c r="O69" s="37"/>
      <c r="P69" s="37"/>
      <c r="Q69" s="37"/>
      <c r="R69" s="37"/>
      <c r="S69" s="37"/>
      <c r="T69" s="110"/>
      <c r="U69" s="103">
        <f>SUM(T70:T71)</f>
        <v>0</v>
      </c>
      <c r="V69" s="103"/>
      <c r="W69" s="118"/>
      <c r="X69" s="2"/>
      <c r="AA69" s="8"/>
    </row>
    <row r="70" spans="2:35">
      <c r="B70" s="7"/>
      <c r="C70" s="119" t="s">
        <v>120</v>
      </c>
      <c r="D70" s="37"/>
      <c r="E70" s="37"/>
      <c r="F70" s="37"/>
      <c r="G70" s="37"/>
      <c r="H70" s="37"/>
      <c r="I70" s="37"/>
      <c r="J70" s="37"/>
      <c r="K70" s="37"/>
      <c r="L70" s="37"/>
      <c r="M70" s="37"/>
      <c r="N70" s="37"/>
      <c r="O70" s="37"/>
      <c r="P70" s="37"/>
      <c r="Q70" s="37"/>
      <c r="R70" s="37"/>
      <c r="S70" s="37"/>
      <c r="T70" s="110">
        <v>0</v>
      </c>
      <c r="U70" s="120"/>
      <c r="V70" s="120"/>
      <c r="W70" s="118"/>
      <c r="X70" s="2"/>
    </row>
    <row r="71" spans="2:35">
      <c r="B71" s="7"/>
      <c r="C71" s="119" t="s">
        <v>121</v>
      </c>
      <c r="D71" s="37"/>
      <c r="E71" s="37"/>
      <c r="F71" s="37"/>
      <c r="G71" s="37"/>
      <c r="H71" s="37"/>
      <c r="I71" s="37"/>
      <c r="J71" s="37"/>
      <c r="K71" s="37"/>
      <c r="L71" s="37"/>
      <c r="M71" s="37"/>
      <c r="N71" s="37"/>
      <c r="O71" s="37"/>
      <c r="P71" s="37"/>
      <c r="Q71" s="37"/>
      <c r="R71" s="37"/>
      <c r="S71" s="37"/>
      <c r="T71" s="110">
        <v>0</v>
      </c>
      <c r="U71" s="120"/>
      <c r="V71" s="120"/>
      <c r="W71" s="118"/>
      <c r="X71" s="2"/>
    </row>
    <row r="72" spans="2:35">
      <c r="B72" s="7"/>
      <c r="C72" s="73" t="s">
        <v>122</v>
      </c>
      <c r="D72" s="37"/>
      <c r="E72" s="37"/>
      <c r="F72" s="37"/>
      <c r="G72" s="37"/>
      <c r="H72" s="37"/>
      <c r="I72" s="37"/>
      <c r="J72" s="37"/>
      <c r="K72" s="37"/>
      <c r="L72" s="37"/>
      <c r="M72" s="37"/>
      <c r="N72" s="37"/>
      <c r="O72" s="37"/>
      <c r="P72" s="37"/>
      <c r="Q72" s="37"/>
      <c r="R72" s="37"/>
      <c r="S72" s="37"/>
      <c r="T72" s="110"/>
      <c r="U72" s="103">
        <f>SUM(T73:T74)</f>
        <v>0</v>
      </c>
      <c r="V72" s="103"/>
      <c r="W72" s="118"/>
      <c r="X72" s="2"/>
      <c r="Z72" s="26"/>
    </row>
    <row r="73" spans="2:35">
      <c r="B73" s="7"/>
      <c r="C73" s="119" t="s">
        <v>120</v>
      </c>
      <c r="D73" s="37"/>
      <c r="E73" s="37"/>
      <c r="F73" s="37"/>
      <c r="G73" s="37"/>
      <c r="H73" s="37"/>
      <c r="I73" s="37"/>
      <c r="J73" s="37"/>
      <c r="K73" s="37"/>
      <c r="L73" s="37"/>
      <c r="M73" s="37"/>
      <c r="N73" s="37"/>
      <c r="O73" s="37"/>
      <c r="P73" s="37"/>
      <c r="Q73" s="37"/>
      <c r="R73" s="37"/>
      <c r="S73" s="37"/>
      <c r="T73" s="110">
        <v>0</v>
      </c>
      <c r="U73" s="120"/>
      <c r="V73" s="120"/>
      <c r="W73" s="118"/>
      <c r="X73" s="2"/>
    </row>
    <row r="74" spans="2:35">
      <c r="B74" s="7"/>
      <c r="C74" s="119" t="s">
        <v>121</v>
      </c>
      <c r="D74" s="37"/>
      <c r="E74" s="37"/>
      <c r="F74" s="37"/>
      <c r="G74" s="37"/>
      <c r="H74" s="37"/>
      <c r="I74" s="37"/>
      <c r="J74" s="37"/>
      <c r="K74" s="37"/>
      <c r="L74" s="37"/>
      <c r="M74" s="37"/>
      <c r="N74" s="37"/>
      <c r="O74" s="37"/>
      <c r="P74" s="37"/>
      <c r="Q74" s="37"/>
      <c r="R74" s="37"/>
      <c r="S74" s="37"/>
      <c r="T74" s="110">
        <v>0</v>
      </c>
      <c r="U74" s="120"/>
      <c r="V74" s="120"/>
      <c r="W74" s="118"/>
      <c r="X74" s="2"/>
      <c r="AE74" s="26"/>
      <c r="AI74" s="6"/>
    </row>
    <row r="75" spans="2:35">
      <c r="B75" s="7"/>
      <c r="C75" s="73" t="s">
        <v>123</v>
      </c>
      <c r="D75" s="37"/>
      <c r="E75" s="37"/>
      <c r="F75" s="37"/>
      <c r="G75" s="37"/>
      <c r="H75" s="37"/>
      <c r="I75" s="37"/>
      <c r="J75" s="37"/>
      <c r="K75" s="37"/>
      <c r="L75" s="37"/>
      <c r="M75" s="37"/>
      <c r="N75" s="37"/>
      <c r="O75" s="37"/>
      <c r="P75" s="37"/>
      <c r="Q75" s="37"/>
      <c r="R75" s="37"/>
      <c r="S75" s="37"/>
      <c r="T75" s="110"/>
      <c r="U75" s="103">
        <f>SUM(T76:T77)</f>
        <v>205438241.57000002</v>
      </c>
      <c r="V75" s="103"/>
      <c r="W75" s="118"/>
      <c r="X75" s="2"/>
      <c r="Z75" s="26"/>
      <c r="AB75" s="26"/>
    </row>
    <row r="76" spans="2:35">
      <c r="B76" s="7"/>
      <c r="C76" s="119" t="s">
        <v>124</v>
      </c>
      <c r="D76" s="37"/>
      <c r="E76" s="37"/>
      <c r="F76" s="37"/>
      <c r="G76" s="37"/>
      <c r="H76" s="37"/>
      <c r="I76" s="37"/>
      <c r="J76" s="37"/>
      <c r="K76" s="37"/>
      <c r="L76" s="37"/>
      <c r="M76" s="37"/>
      <c r="N76" s="37"/>
      <c r="O76" s="37"/>
      <c r="P76" s="37"/>
      <c r="Q76" s="37"/>
      <c r="R76" s="37"/>
      <c r="S76" s="37"/>
      <c r="T76" s="110">
        <f>'Servicer Report'!J46</f>
        <v>0</v>
      </c>
      <c r="U76" s="120"/>
      <c r="V76" s="120"/>
      <c r="W76" s="118"/>
      <c r="X76" s="2"/>
      <c r="AE76" s="94"/>
    </row>
    <row r="77" spans="2:35">
      <c r="B77" s="7"/>
      <c r="C77" s="119" t="s">
        <v>125</v>
      </c>
      <c r="D77" s="37"/>
      <c r="E77" s="37"/>
      <c r="F77" s="37"/>
      <c r="G77" s="37"/>
      <c r="H77" s="37"/>
      <c r="I77" s="37"/>
      <c r="J77" s="37"/>
      <c r="K77" s="37"/>
      <c r="L77" s="37"/>
      <c r="M77" s="37"/>
      <c r="N77" s="37"/>
      <c r="O77" s="37"/>
      <c r="P77" s="37"/>
      <c r="Q77" s="37"/>
      <c r="R77" s="37"/>
      <c r="S77" s="37"/>
      <c r="T77" s="110">
        <f>'Servicer Report'!J47</f>
        <v>205438241.57000002</v>
      </c>
      <c r="U77" s="120"/>
      <c r="V77" s="120"/>
      <c r="W77" s="118"/>
      <c r="X77" s="2"/>
      <c r="AB77" s="8"/>
      <c r="AE77" s="94"/>
    </row>
    <row r="78" spans="2:35">
      <c r="B78" s="7"/>
      <c r="C78" s="73" t="s">
        <v>126</v>
      </c>
      <c r="D78" s="37"/>
      <c r="E78" s="37"/>
      <c r="F78" s="37"/>
      <c r="G78" s="37"/>
      <c r="H78" s="37"/>
      <c r="I78" s="37"/>
      <c r="J78" s="37"/>
      <c r="K78" s="37"/>
      <c r="L78" s="37"/>
      <c r="M78" s="37"/>
      <c r="N78" s="37"/>
      <c r="O78" s="37"/>
      <c r="P78" s="37"/>
      <c r="Q78" s="37"/>
      <c r="R78" s="37"/>
      <c r="S78" s="37"/>
      <c r="T78" s="110"/>
      <c r="U78" s="106">
        <f>'Servicer Report'!J40+20000000</f>
        <v>63186079.56000001</v>
      </c>
      <c r="V78" s="103"/>
      <c r="W78" s="118"/>
      <c r="X78" s="2"/>
      <c r="Z78" s="26"/>
      <c r="AB78" s="26"/>
      <c r="AE78" s="94"/>
    </row>
    <row r="79" spans="2:35">
      <c r="B79" s="7"/>
      <c r="C79" s="73" t="s">
        <v>127</v>
      </c>
      <c r="D79" s="37"/>
      <c r="E79" s="37"/>
      <c r="F79" s="37"/>
      <c r="G79" s="37"/>
      <c r="H79" s="37"/>
      <c r="I79" s="37"/>
      <c r="J79" s="37"/>
      <c r="K79" s="37"/>
      <c r="L79" s="37"/>
      <c r="M79" s="37"/>
      <c r="N79" s="37"/>
      <c r="O79" s="37"/>
      <c r="P79" s="37"/>
      <c r="Q79" s="37"/>
      <c r="R79" s="37"/>
      <c r="S79" s="37"/>
      <c r="T79" s="110">
        <f>'Servicer Report'!J41</f>
        <v>0</v>
      </c>
      <c r="U79" s="103"/>
      <c r="V79" s="103"/>
      <c r="W79" s="118"/>
      <c r="X79" s="2"/>
      <c r="Z79" s="26"/>
      <c r="AA79" s="26"/>
      <c r="AE79" s="94"/>
    </row>
    <row r="80" spans="2:35">
      <c r="B80" s="7"/>
      <c r="C80" s="115" t="s">
        <v>128</v>
      </c>
      <c r="D80" s="116"/>
      <c r="E80" s="116"/>
      <c r="F80" s="116"/>
      <c r="G80" s="116"/>
      <c r="H80" s="116"/>
      <c r="I80" s="116"/>
      <c r="J80" s="116"/>
      <c r="K80" s="116"/>
      <c r="L80" s="116"/>
      <c r="M80" s="116"/>
      <c r="N80" s="116"/>
      <c r="O80" s="116"/>
      <c r="P80" s="116"/>
      <c r="Q80" s="116"/>
      <c r="R80" s="116"/>
      <c r="S80" s="116"/>
      <c r="T80" s="121"/>
      <c r="U80" s="122">
        <v>1718418.6919176918</v>
      </c>
      <c r="V80" s="113"/>
      <c r="W80" s="123"/>
      <c r="X80" s="2"/>
      <c r="Z80" s="8"/>
      <c r="AA80" s="8"/>
    </row>
    <row r="81" spans="2:49" ht="15" thickBot="1">
      <c r="B81" s="7"/>
      <c r="C81" s="124" t="s">
        <v>129</v>
      </c>
      <c r="D81" s="98"/>
      <c r="E81" s="98"/>
      <c r="F81" s="98"/>
      <c r="G81" s="98"/>
      <c r="H81" s="98"/>
      <c r="I81" s="98"/>
      <c r="J81" s="98"/>
      <c r="K81" s="98"/>
      <c r="L81" s="98"/>
      <c r="M81" s="98"/>
      <c r="N81" s="98"/>
      <c r="O81" s="98"/>
      <c r="P81" s="98"/>
      <c r="Q81" s="98"/>
      <c r="R81" s="98"/>
      <c r="S81" s="114"/>
      <c r="T81" s="294">
        <v>0</v>
      </c>
      <c r="U81" s="295"/>
      <c r="V81" s="295"/>
      <c r="W81" s="296"/>
      <c r="X81" s="2"/>
    </row>
    <row r="82" spans="2:49" ht="15" thickBot="1">
      <c r="B82" s="7"/>
      <c r="C82" s="285" t="s">
        <v>130</v>
      </c>
      <c r="D82" s="286"/>
      <c r="E82" s="286"/>
      <c r="F82" s="286"/>
      <c r="G82" s="286"/>
      <c r="H82" s="286"/>
      <c r="I82" s="286"/>
      <c r="J82" s="286"/>
      <c r="K82" s="286"/>
      <c r="L82" s="286"/>
      <c r="M82" s="286"/>
      <c r="N82" s="286"/>
      <c r="O82" s="286"/>
      <c r="P82" s="286"/>
      <c r="Q82" s="286"/>
      <c r="R82" s="286"/>
      <c r="S82" s="286"/>
      <c r="T82" s="286"/>
      <c r="U82" s="286"/>
      <c r="V82" s="286"/>
      <c r="W82" s="287"/>
      <c r="X82" s="2"/>
    </row>
    <row r="83" spans="2:49">
      <c r="B83" s="7"/>
      <c r="C83" s="125" t="s">
        <v>131</v>
      </c>
      <c r="D83" s="37"/>
      <c r="E83" s="37"/>
      <c r="F83" s="37"/>
      <c r="G83" s="37"/>
      <c r="H83" s="37"/>
      <c r="I83" s="37"/>
      <c r="J83" s="37"/>
      <c r="K83" s="37"/>
      <c r="L83" s="37"/>
      <c r="M83" s="37"/>
      <c r="N83" s="37"/>
      <c r="O83" s="37"/>
      <c r="P83" s="37"/>
      <c r="Q83" s="37"/>
      <c r="R83" s="37"/>
      <c r="S83" s="37"/>
      <c r="T83" s="291">
        <f>SUM(T84:U86,T90:U93)</f>
        <v>214030304.20000002</v>
      </c>
      <c r="U83" s="292"/>
      <c r="V83" s="292"/>
      <c r="W83" s="293"/>
      <c r="X83" s="2"/>
    </row>
    <row r="84" spans="2:49">
      <c r="B84" s="7"/>
      <c r="C84" s="73" t="s">
        <v>132</v>
      </c>
      <c r="D84" s="37"/>
      <c r="E84" s="37"/>
      <c r="F84" s="37"/>
      <c r="G84" s="37"/>
      <c r="H84" s="37"/>
      <c r="I84" s="37"/>
      <c r="J84" s="37"/>
      <c r="K84" s="37"/>
      <c r="L84" s="37"/>
      <c r="M84" s="37"/>
      <c r="N84" s="37"/>
      <c r="O84" s="37"/>
      <c r="P84" s="37"/>
      <c r="Q84" s="37"/>
      <c r="R84" s="37"/>
      <c r="S84" s="37"/>
      <c r="T84" s="297">
        <v>0</v>
      </c>
      <c r="U84" s="298"/>
      <c r="V84" s="99"/>
      <c r="W84" s="126"/>
      <c r="X84" s="2"/>
    </row>
    <row r="85" spans="2:49">
      <c r="B85" s="7"/>
      <c r="C85" s="73" t="s">
        <v>133</v>
      </c>
      <c r="D85" s="37"/>
      <c r="E85" s="37"/>
      <c r="F85" s="37"/>
      <c r="G85" s="37"/>
      <c r="H85" s="37"/>
      <c r="I85" s="37"/>
      <c r="J85" s="37"/>
      <c r="K85" s="37"/>
      <c r="L85" s="37"/>
      <c r="M85" s="37"/>
      <c r="N85" s="37"/>
      <c r="O85" s="37"/>
      <c r="P85" s="37"/>
      <c r="Q85" s="37"/>
      <c r="R85" s="37"/>
      <c r="S85" s="37"/>
      <c r="T85" s="318">
        <v>0</v>
      </c>
      <c r="U85" s="319"/>
      <c r="V85" s="127"/>
      <c r="W85" s="126"/>
      <c r="X85" s="2"/>
    </row>
    <row r="86" spans="2:49">
      <c r="B86" s="7"/>
      <c r="C86" s="73" t="s">
        <v>134</v>
      </c>
      <c r="D86" s="37"/>
      <c r="E86" s="37"/>
      <c r="F86" s="37"/>
      <c r="G86" s="37"/>
      <c r="H86" s="37"/>
      <c r="I86" s="37"/>
      <c r="J86" s="37"/>
      <c r="K86" s="37"/>
      <c r="L86" s="37"/>
      <c r="M86" s="37"/>
      <c r="N86" s="37"/>
      <c r="O86" s="37"/>
      <c r="P86" s="37"/>
      <c r="Q86" s="37"/>
      <c r="R86" s="37"/>
      <c r="S86" s="37"/>
      <c r="T86" s="297">
        <f>SUM(T87:T89)</f>
        <v>204050066.62</v>
      </c>
      <c r="U86" s="298"/>
      <c r="V86" s="99"/>
      <c r="W86" s="126"/>
      <c r="X86" s="2"/>
    </row>
    <row r="87" spans="2:49">
      <c r="B87" s="7"/>
      <c r="C87" s="119" t="s">
        <v>135</v>
      </c>
      <c r="D87" s="37"/>
      <c r="E87" s="37"/>
      <c r="F87" s="37"/>
      <c r="G87" s="37"/>
      <c r="H87" s="37"/>
      <c r="I87" s="37"/>
      <c r="J87" s="37"/>
      <c r="K87" s="37"/>
      <c r="L87" s="37"/>
      <c r="M87" s="37"/>
      <c r="N87" s="37"/>
      <c r="O87" s="37"/>
      <c r="P87" s="37"/>
      <c r="Q87" s="37"/>
      <c r="R87" s="37"/>
      <c r="S87" s="37"/>
      <c r="T87" s="110">
        <f>'Servicer Report'!J27</f>
        <v>0</v>
      </c>
      <c r="U87" s="128"/>
      <c r="V87" s="128"/>
      <c r="W87" s="126"/>
      <c r="X87" s="2"/>
      <c r="Z87" s="26"/>
    </row>
    <row r="88" spans="2:49">
      <c r="B88" s="7"/>
      <c r="C88" s="119" t="s">
        <v>136</v>
      </c>
      <c r="D88" s="37"/>
      <c r="E88" s="37"/>
      <c r="F88" s="37"/>
      <c r="G88" s="37"/>
      <c r="H88" s="37"/>
      <c r="I88" s="37"/>
      <c r="J88" s="37"/>
      <c r="K88" s="37"/>
      <c r="L88" s="37"/>
      <c r="M88" s="37"/>
      <c r="N88" s="37"/>
      <c r="O88" s="37"/>
      <c r="P88" s="37"/>
      <c r="Q88" s="37"/>
      <c r="R88" s="37"/>
      <c r="S88" s="37"/>
      <c r="T88" s="110">
        <f>'Servicer Report'!J28</f>
        <v>204050066.62</v>
      </c>
      <c r="U88" s="128"/>
      <c r="V88" s="128"/>
      <c r="W88" s="126"/>
      <c r="X88" s="2"/>
      <c r="Z88" s="26"/>
      <c r="AB88" s="6"/>
    </row>
    <row r="89" spans="2:49">
      <c r="B89" s="7"/>
      <c r="C89" s="119" t="s">
        <v>137</v>
      </c>
      <c r="D89" s="37"/>
      <c r="E89" s="37"/>
      <c r="F89" s="37"/>
      <c r="G89" s="37"/>
      <c r="H89" s="37"/>
      <c r="I89" s="37"/>
      <c r="J89" s="37"/>
      <c r="K89" s="37"/>
      <c r="L89" s="37"/>
      <c r="M89" s="37"/>
      <c r="N89" s="37"/>
      <c r="O89" s="37"/>
      <c r="P89" s="37"/>
      <c r="Q89" s="37"/>
      <c r="R89" s="37"/>
      <c r="S89" s="37"/>
      <c r="T89" s="110">
        <v>0</v>
      </c>
      <c r="U89" s="129"/>
      <c r="V89" s="129"/>
      <c r="W89" s="126"/>
      <c r="X89" s="2"/>
      <c r="AB89" s="8"/>
    </row>
    <row r="90" spans="2:49">
      <c r="B90" s="7"/>
      <c r="C90" s="73" t="s">
        <v>138</v>
      </c>
      <c r="D90" s="37"/>
      <c r="E90" s="37"/>
      <c r="F90" s="37"/>
      <c r="G90" s="37"/>
      <c r="H90" s="37"/>
      <c r="I90" s="37"/>
      <c r="J90" s="37"/>
      <c r="K90" s="37"/>
      <c r="L90" s="37"/>
      <c r="M90" s="37"/>
      <c r="N90" s="37"/>
      <c r="O90" s="37"/>
      <c r="P90" s="37"/>
      <c r="Q90" s="37"/>
      <c r="R90" s="37"/>
      <c r="S90" s="37"/>
      <c r="T90" s="297">
        <f>'Servicer Report'!J30</f>
        <v>9980237.5800000001</v>
      </c>
      <c r="U90" s="298"/>
      <c r="V90" s="99"/>
      <c r="W90" s="126"/>
      <c r="X90" s="2"/>
      <c r="Z90" s="8"/>
      <c r="AB90" s="6"/>
    </row>
    <row r="91" spans="2:49">
      <c r="B91" s="7"/>
      <c r="C91" s="73" t="s">
        <v>139</v>
      </c>
      <c r="D91" s="37"/>
      <c r="E91" s="37"/>
      <c r="F91" s="37"/>
      <c r="G91" s="37"/>
      <c r="H91" s="37"/>
      <c r="I91" s="37"/>
      <c r="J91" s="37"/>
      <c r="K91" s="37"/>
      <c r="L91" s="37"/>
      <c r="M91" s="37"/>
      <c r="N91" s="37"/>
      <c r="O91" s="37"/>
      <c r="P91" s="37"/>
      <c r="Q91" s="37"/>
      <c r="R91" s="37"/>
      <c r="S91" s="37"/>
      <c r="T91" s="297">
        <v>0</v>
      </c>
      <c r="U91" s="298"/>
      <c r="V91" s="99"/>
      <c r="W91" s="126"/>
      <c r="X91" s="2"/>
      <c r="Z91" s="8"/>
    </row>
    <row r="92" spans="2:49">
      <c r="B92" s="7"/>
      <c r="C92" s="73" t="s">
        <v>140</v>
      </c>
      <c r="D92" s="37"/>
      <c r="E92" s="37"/>
      <c r="F92" s="37"/>
      <c r="G92" s="37"/>
      <c r="H92" s="37"/>
      <c r="I92" s="37"/>
      <c r="J92" s="37"/>
      <c r="K92" s="37"/>
      <c r="L92" s="37"/>
      <c r="M92" s="37"/>
      <c r="N92" s="37"/>
      <c r="O92" s="37"/>
      <c r="P92" s="37"/>
      <c r="Q92" s="37"/>
      <c r="R92" s="37"/>
      <c r="S92" s="37"/>
      <c r="T92" s="297">
        <v>0</v>
      </c>
      <c r="U92" s="298"/>
      <c r="V92" s="99"/>
      <c r="W92" s="126"/>
      <c r="X92" s="2"/>
      <c r="AB92" s="8"/>
    </row>
    <row r="93" spans="2:49" ht="15" thickBot="1">
      <c r="B93" s="7"/>
      <c r="C93" s="73" t="s">
        <v>141</v>
      </c>
      <c r="D93" s="37"/>
      <c r="E93" s="37"/>
      <c r="F93" s="37"/>
      <c r="G93" s="37"/>
      <c r="H93" s="37"/>
      <c r="I93" s="37"/>
      <c r="J93" s="37"/>
      <c r="K93" s="37"/>
      <c r="L93" s="37"/>
      <c r="M93" s="37"/>
      <c r="N93" s="37"/>
      <c r="O93" s="37"/>
      <c r="P93" s="37"/>
      <c r="Q93" s="37"/>
      <c r="R93" s="37"/>
      <c r="S93" s="37"/>
      <c r="T93" s="297">
        <v>0</v>
      </c>
      <c r="U93" s="298"/>
      <c r="V93" s="99"/>
      <c r="W93" s="126"/>
      <c r="X93" s="2"/>
      <c r="Z93" s="130"/>
    </row>
    <row r="94" spans="2:49" ht="15" thickBot="1">
      <c r="B94" s="7"/>
      <c r="C94" s="285" t="s">
        <v>142</v>
      </c>
      <c r="D94" s="286"/>
      <c r="E94" s="286"/>
      <c r="F94" s="286"/>
      <c r="G94" s="286"/>
      <c r="H94" s="286"/>
      <c r="I94" s="286"/>
      <c r="J94" s="286"/>
      <c r="K94" s="286"/>
      <c r="L94" s="286"/>
      <c r="M94" s="286"/>
      <c r="N94" s="286"/>
      <c r="O94" s="286"/>
      <c r="P94" s="286"/>
      <c r="Q94" s="286"/>
      <c r="R94" s="286"/>
      <c r="S94" s="286"/>
      <c r="T94" s="286"/>
      <c r="U94" s="286"/>
      <c r="V94" s="286"/>
      <c r="W94" s="287"/>
      <c r="X94" s="2"/>
    </row>
    <row r="95" spans="2:49">
      <c r="B95" s="7"/>
      <c r="C95" s="125" t="s">
        <v>143</v>
      </c>
      <c r="D95" s="37"/>
      <c r="E95" s="37"/>
      <c r="F95" s="37"/>
      <c r="G95" s="37"/>
      <c r="H95" s="37"/>
      <c r="I95" s="37"/>
      <c r="J95" s="37"/>
      <c r="K95" s="37"/>
      <c r="L95" s="37"/>
      <c r="M95" s="37"/>
      <c r="N95" s="37"/>
      <c r="O95" s="37"/>
      <c r="P95" s="37"/>
      <c r="Q95" s="37"/>
      <c r="R95" s="37"/>
      <c r="S95" s="37"/>
      <c r="T95" s="315">
        <f>SUM(T96:U99)</f>
        <v>106670936.98301278</v>
      </c>
      <c r="U95" s="316"/>
      <c r="V95" s="316"/>
      <c r="W95" s="317"/>
      <c r="X95" s="2"/>
      <c r="Y95" s="94"/>
      <c r="Z95" s="26"/>
    </row>
    <row r="96" spans="2:49">
      <c r="B96" s="7"/>
      <c r="C96" s="73" t="s">
        <v>144</v>
      </c>
      <c r="D96" s="37"/>
      <c r="E96" s="37"/>
      <c r="F96" s="37"/>
      <c r="G96" s="37"/>
      <c r="H96" s="37"/>
      <c r="I96" s="37"/>
      <c r="J96" s="37"/>
      <c r="K96" s="37"/>
      <c r="L96" s="37"/>
      <c r="M96" s="37"/>
      <c r="N96" s="37"/>
      <c r="O96" s="37"/>
      <c r="P96" s="37"/>
      <c r="Q96" s="37"/>
      <c r="R96" s="37"/>
      <c r="S96" s="37"/>
      <c r="T96" s="297">
        <f>T56</f>
        <v>29556.412595048547</v>
      </c>
      <c r="U96" s="298"/>
      <c r="V96" s="99"/>
      <c r="W96" s="2"/>
      <c r="X96" s="2"/>
      <c r="Y96" s="94"/>
      <c r="Z96" s="26"/>
      <c r="AC96" s="26"/>
      <c r="AK96" s="6"/>
      <c r="AW96" s="26">
        <f>SUM(AW98:AW103)</f>
        <v>3230754.9668253167</v>
      </c>
    </row>
    <row r="97" spans="2:50">
      <c r="B97" s="7"/>
      <c r="C97" s="73" t="s">
        <v>145</v>
      </c>
      <c r="D97" s="37"/>
      <c r="E97" s="37"/>
      <c r="F97" s="37"/>
      <c r="G97" s="37"/>
      <c r="H97" s="37"/>
      <c r="I97" s="37"/>
      <c r="J97" s="37"/>
      <c r="K97" s="37"/>
      <c r="L97" s="37"/>
      <c r="M97" s="37"/>
      <c r="N97" s="37"/>
      <c r="O97" s="37"/>
      <c r="P97" s="37"/>
      <c r="Q97" s="37"/>
      <c r="R97" s="37"/>
      <c r="S97" s="37"/>
      <c r="T97" s="297">
        <f>T60+T63+T66-T83+T58+T81-T99</f>
        <v>73421602.570417732</v>
      </c>
      <c r="U97" s="298"/>
      <c r="V97" s="99"/>
      <c r="W97" s="2"/>
      <c r="X97" s="2"/>
      <c r="Y97" s="94"/>
      <c r="Z97" s="26"/>
      <c r="AA97" s="8"/>
      <c r="AB97" s="94"/>
      <c r="AL97" s="8"/>
      <c r="AR97" s="94"/>
    </row>
    <row r="98" spans="2:50">
      <c r="B98" s="7"/>
      <c r="C98" s="73" t="s">
        <v>107</v>
      </c>
      <c r="D98" s="37"/>
      <c r="E98" s="37"/>
      <c r="F98" s="37"/>
      <c r="G98" s="37"/>
      <c r="H98" s="37"/>
      <c r="I98" s="37"/>
      <c r="J98" s="37"/>
      <c r="K98" s="37"/>
      <c r="L98" s="37"/>
      <c r="M98" s="37"/>
      <c r="N98" s="37"/>
      <c r="O98" s="37"/>
      <c r="P98" s="37"/>
      <c r="Q98" s="37"/>
      <c r="R98" s="37"/>
      <c r="S98" s="37"/>
      <c r="T98" s="297">
        <f>Q204</f>
        <v>0</v>
      </c>
      <c r="U98" s="298"/>
      <c r="V98" s="99"/>
      <c r="W98" s="2"/>
      <c r="X98" s="2"/>
      <c r="Y98" s="94"/>
      <c r="AB98" s="95"/>
      <c r="AC98" s="26"/>
      <c r="AK98" s="94"/>
      <c r="AW98" s="131">
        <v>1792956.4168253168</v>
      </c>
      <c r="AX98" s="1" t="s">
        <v>146</v>
      </c>
    </row>
    <row r="99" spans="2:50" ht="15" thickBot="1">
      <c r="B99" s="7"/>
      <c r="C99" s="132" t="s">
        <v>108</v>
      </c>
      <c r="D99" s="133"/>
      <c r="E99" s="133"/>
      <c r="F99" s="133"/>
      <c r="G99" s="133"/>
      <c r="H99" s="133"/>
      <c r="I99" s="133"/>
      <c r="J99" s="133"/>
      <c r="K99" s="133"/>
      <c r="L99" s="133"/>
      <c r="M99" s="133"/>
      <c r="N99" s="133"/>
      <c r="O99" s="133"/>
      <c r="P99" s="133"/>
      <c r="Q99" s="133"/>
      <c r="R99" s="133"/>
      <c r="S99" s="133"/>
      <c r="T99" s="322">
        <f>Q190</f>
        <v>33219778</v>
      </c>
      <c r="U99" s="323"/>
      <c r="V99" s="134"/>
      <c r="W99" s="135"/>
      <c r="X99" s="2"/>
      <c r="Y99" s="94"/>
      <c r="AA99" s="6"/>
      <c r="AR99" s="94"/>
      <c r="AW99" s="102">
        <v>1619000</v>
      </c>
      <c r="AX99" s="1" t="s">
        <v>147</v>
      </c>
    </row>
    <row r="100" spans="2:50" ht="15" thickBot="1">
      <c r="B100" s="7"/>
      <c r="C100" s="136"/>
      <c r="D100" s="9"/>
      <c r="E100" s="9"/>
      <c r="F100" s="9"/>
      <c r="G100" s="9"/>
      <c r="H100" s="9"/>
      <c r="I100" s="9"/>
      <c r="J100" s="9"/>
      <c r="K100" s="9"/>
      <c r="L100" s="9"/>
      <c r="M100" s="9"/>
      <c r="N100" s="9"/>
      <c r="O100" s="9"/>
      <c r="P100" s="9"/>
      <c r="Q100" s="9"/>
      <c r="R100" s="9"/>
      <c r="S100" s="9"/>
      <c r="T100" s="9"/>
      <c r="U100" s="9"/>
      <c r="V100" s="9"/>
      <c r="W100" s="2"/>
      <c r="X100" s="2"/>
      <c r="Y100" s="6"/>
      <c r="AA100" s="6"/>
      <c r="AB100" s="95"/>
      <c r="AK100" s="95"/>
      <c r="AR100" s="94"/>
      <c r="AW100" s="104">
        <v>-99442.12</v>
      </c>
      <c r="AX100" s="26" t="s">
        <v>148</v>
      </c>
    </row>
    <row r="101" spans="2:50" ht="15" thickBot="1">
      <c r="B101" s="7"/>
      <c r="C101" s="282" t="s">
        <v>149</v>
      </c>
      <c r="D101" s="283"/>
      <c r="E101" s="283"/>
      <c r="F101" s="283"/>
      <c r="G101" s="283"/>
      <c r="H101" s="283"/>
      <c r="I101" s="283"/>
      <c r="J101" s="283"/>
      <c r="K101" s="283"/>
      <c r="L101" s="283"/>
      <c r="M101" s="283"/>
      <c r="N101" s="283"/>
      <c r="O101" s="283"/>
      <c r="P101" s="283"/>
      <c r="Q101" s="283"/>
      <c r="R101" s="283"/>
      <c r="S101" s="283"/>
      <c r="T101" s="283"/>
      <c r="U101" s="283"/>
      <c r="V101" s="283"/>
      <c r="W101" s="284"/>
      <c r="X101" s="2"/>
      <c r="AD101" s="6"/>
      <c r="AF101" s="6"/>
      <c r="AI101" s="6"/>
      <c r="AR101" s="94"/>
      <c r="AW101" s="108">
        <v>-49008.75</v>
      </c>
      <c r="AX101" s="1" t="s">
        <v>150</v>
      </c>
    </row>
    <row r="102" spans="2:50">
      <c r="B102" s="7"/>
      <c r="C102" s="125" t="s">
        <v>151</v>
      </c>
      <c r="D102" s="137"/>
      <c r="E102" s="137"/>
      <c r="F102" s="137"/>
      <c r="G102" s="137"/>
      <c r="H102" s="137"/>
      <c r="I102" s="137"/>
      <c r="J102" s="137"/>
      <c r="K102" s="137"/>
      <c r="L102" s="137"/>
      <c r="M102" s="137"/>
      <c r="N102" s="137"/>
      <c r="O102" s="137"/>
      <c r="P102" s="137"/>
      <c r="Q102" s="137"/>
      <c r="R102" s="137"/>
      <c r="S102" s="138"/>
      <c r="T102" s="291">
        <f>T103+T104+T105-T106+T107+T108</f>
        <v>7361886.138500018</v>
      </c>
      <c r="U102" s="292"/>
      <c r="V102" s="292"/>
      <c r="W102" s="293"/>
      <c r="X102" s="2"/>
      <c r="Y102" s="6"/>
      <c r="AD102" s="6"/>
      <c r="AF102" s="6"/>
      <c r="AG102" s="6"/>
      <c r="AH102" s="26"/>
      <c r="AI102" s="6"/>
      <c r="AR102" s="94"/>
      <c r="AW102" s="104">
        <v>2122.52</v>
      </c>
      <c r="AX102" s="1" t="s">
        <v>152</v>
      </c>
    </row>
    <row r="103" spans="2:50">
      <c r="B103" s="7"/>
      <c r="C103" s="73" t="s">
        <v>153</v>
      </c>
      <c r="D103" s="37"/>
      <c r="E103" s="37"/>
      <c r="F103" s="37"/>
      <c r="G103" s="37"/>
      <c r="H103" s="37"/>
      <c r="I103" s="37"/>
      <c r="J103" s="37"/>
      <c r="K103" s="37"/>
      <c r="L103" s="37"/>
      <c r="M103" s="37"/>
      <c r="N103" s="37"/>
      <c r="O103" s="37"/>
      <c r="P103" s="37"/>
      <c r="Q103" s="37"/>
      <c r="R103" s="37"/>
      <c r="S103" s="112"/>
      <c r="T103" s="320">
        <f>U67+U68+T81+T76+T77-T88</f>
        <v>17342123.718500018</v>
      </c>
      <c r="U103" s="321"/>
      <c r="V103" s="99"/>
      <c r="W103" s="71"/>
      <c r="X103" s="2"/>
      <c r="Y103" s="6"/>
      <c r="AD103" s="8"/>
      <c r="AF103" s="6"/>
      <c r="AG103" s="6"/>
      <c r="AH103" s="26"/>
      <c r="AI103" s="6"/>
      <c r="AR103" s="6"/>
      <c r="AW103" s="109">
        <v>-34873.1</v>
      </c>
      <c r="AX103" s="140" t="s">
        <v>154</v>
      </c>
    </row>
    <row r="104" spans="2:50">
      <c r="B104" s="7"/>
      <c r="C104" s="73" t="s">
        <v>155</v>
      </c>
      <c r="D104" s="37"/>
      <c r="E104" s="37"/>
      <c r="F104" s="37"/>
      <c r="G104" s="37"/>
      <c r="H104" s="37"/>
      <c r="I104" s="37"/>
      <c r="J104" s="37"/>
      <c r="K104" s="37"/>
      <c r="L104" s="37"/>
      <c r="M104" s="37"/>
      <c r="N104" s="37"/>
      <c r="O104" s="37"/>
      <c r="P104" s="37"/>
      <c r="Q104" s="37"/>
      <c r="R104" s="37"/>
      <c r="S104" s="112"/>
      <c r="T104" s="320">
        <f>IF('Servicer Report'!L62&gt;'Servicer Report'!I62,'Servicer Report'!L62*50%,0)</f>
        <v>0</v>
      </c>
      <c r="U104" s="321"/>
      <c r="V104" s="139"/>
      <c r="W104" s="118"/>
      <c r="X104" s="2"/>
      <c r="Y104" s="6"/>
      <c r="AD104" s="6"/>
      <c r="AF104" s="141"/>
      <c r="AH104" s="26"/>
      <c r="AI104" s="6"/>
    </row>
    <row r="105" spans="2:50">
      <c r="B105" s="7"/>
      <c r="C105" s="73" t="s">
        <v>156</v>
      </c>
      <c r="D105" s="37"/>
      <c r="E105" s="37"/>
      <c r="F105" s="37"/>
      <c r="G105" s="37"/>
      <c r="H105" s="37"/>
      <c r="I105" s="37"/>
      <c r="J105" s="37"/>
      <c r="K105" s="37"/>
      <c r="L105" s="37"/>
      <c r="M105" s="37"/>
      <c r="N105" s="37"/>
      <c r="O105" s="37"/>
      <c r="P105" s="37"/>
      <c r="Q105" s="37"/>
      <c r="R105" s="37"/>
      <c r="S105" s="112"/>
      <c r="T105" s="320">
        <v>0</v>
      </c>
      <c r="U105" s="321"/>
      <c r="V105" s="139"/>
      <c r="W105" s="118"/>
      <c r="X105" s="2"/>
      <c r="Y105" s="6"/>
      <c r="AD105" s="6"/>
      <c r="AF105" s="8"/>
      <c r="AG105" s="8"/>
      <c r="AI105" s="6"/>
      <c r="AR105" s="6"/>
    </row>
    <row r="106" spans="2:50">
      <c r="B106" s="7"/>
      <c r="C106" s="73" t="s">
        <v>157</v>
      </c>
      <c r="D106" s="37"/>
      <c r="E106" s="37"/>
      <c r="F106" s="37"/>
      <c r="G106" s="37"/>
      <c r="H106" s="37"/>
      <c r="I106" s="37"/>
      <c r="J106" s="37"/>
      <c r="K106" s="37"/>
      <c r="L106" s="37"/>
      <c r="M106" s="37"/>
      <c r="N106" s="37"/>
      <c r="O106" s="37"/>
      <c r="P106" s="37"/>
      <c r="Q106" s="37"/>
      <c r="R106" s="37"/>
      <c r="S106" s="112"/>
      <c r="T106" s="320">
        <f>'Servicer Report'!J30</f>
        <v>9980237.5800000001</v>
      </c>
      <c r="U106" s="321"/>
      <c r="V106" s="139"/>
      <c r="W106" s="118"/>
      <c r="X106" s="2"/>
      <c r="Y106" s="6"/>
      <c r="AD106" s="6"/>
      <c r="AE106" s="8"/>
      <c r="AF106" s="95"/>
      <c r="AR106" s="6"/>
    </row>
    <row r="107" spans="2:50">
      <c r="B107" s="7"/>
      <c r="C107" s="73" t="s">
        <v>158</v>
      </c>
      <c r="D107" s="37"/>
      <c r="E107" s="37"/>
      <c r="F107" s="37"/>
      <c r="G107" s="37"/>
      <c r="H107" s="37"/>
      <c r="I107" s="37"/>
      <c r="J107" s="37"/>
      <c r="K107" s="37"/>
      <c r="L107" s="37"/>
      <c r="M107" s="37"/>
      <c r="N107" s="37"/>
      <c r="O107" s="37"/>
      <c r="P107" s="37"/>
      <c r="Q107" s="37"/>
      <c r="R107" s="37"/>
      <c r="S107" s="112"/>
      <c r="T107" s="297">
        <v>0</v>
      </c>
      <c r="U107" s="298"/>
      <c r="V107" s="99"/>
      <c r="W107" s="118"/>
      <c r="X107" s="2"/>
      <c r="Y107" s="6"/>
      <c r="AA107" s="95"/>
      <c r="AB107" s="6"/>
      <c r="AR107" s="94"/>
    </row>
    <row r="108" spans="2:50" ht="15" thickBot="1">
      <c r="B108" s="7"/>
      <c r="C108" s="132" t="s">
        <v>159</v>
      </c>
      <c r="D108" s="133"/>
      <c r="E108" s="133"/>
      <c r="F108" s="133"/>
      <c r="G108" s="133"/>
      <c r="H108" s="133"/>
      <c r="I108" s="133"/>
      <c r="J108" s="133"/>
      <c r="K108" s="133"/>
      <c r="L108" s="133"/>
      <c r="M108" s="133"/>
      <c r="N108" s="133"/>
      <c r="O108" s="133"/>
      <c r="P108" s="133"/>
      <c r="Q108" s="133"/>
      <c r="R108" s="133"/>
      <c r="S108" s="142"/>
      <c r="T108" s="313">
        <v>0</v>
      </c>
      <c r="U108" s="314"/>
      <c r="V108" s="105"/>
      <c r="W108" s="143"/>
      <c r="X108" s="2"/>
      <c r="Y108" s="8"/>
      <c r="AA108" s="6"/>
    </row>
    <row r="109" spans="2:50" ht="15" thickBot="1">
      <c r="B109" s="7"/>
      <c r="C109" s="136"/>
      <c r="D109" s="9"/>
      <c r="E109" s="9"/>
      <c r="F109" s="9"/>
      <c r="G109" s="9"/>
      <c r="H109" s="9"/>
      <c r="I109" s="9"/>
      <c r="J109" s="9"/>
      <c r="K109" s="144"/>
      <c r="L109" s="144"/>
      <c r="M109" s="144"/>
      <c r="N109" s="144"/>
      <c r="O109" s="144"/>
      <c r="P109" s="144"/>
      <c r="Q109" s="144"/>
      <c r="R109" s="144"/>
      <c r="S109" s="144"/>
      <c r="T109" s="144"/>
      <c r="U109" s="144"/>
      <c r="V109" s="145"/>
      <c r="W109" s="2"/>
      <c r="X109" s="2"/>
    </row>
    <row r="110" spans="2:50" ht="15" thickBot="1">
      <c r="B110" s="7"/>
      <c r="C110" s="282" t="s">
        <v>160</v>
      </c>
      <c r="D110" s="283"/>
      <c r="E110" s="283"/>
      <c r="F110" s="283"/>
      <c r="G110" s="283"/>
      <c r="H110" s="283"/>
      <c r="I110" s="283"/>
      <c r="J110" s="283"/>
      <c r="K110" s="283"/>
      <c r="L110" s="283"/>
      <c r="M110" s="283"/>
      <c r="N110" s="283"/>
      <c r="O110" s="283"/>
      <c r="P110" s="283"/>
      <c r="Q110" s="283"/>
      <c r="R110" s="283"/>
      <c r="S110" s="283"/>
      <c r="T110" s="283"/>
      <c r="U110" s="283"/>
      <c r="V110" s="283"/>
      <c r="W110" s="284"/>
      <c r="X110" s="2"/>
      <c r="Y110" s="8"/>
      <c r="AA110" s="8"/>
      <c r="AC110" s="8"/>
    </row>
    <row r="111" spans="2:50">
      <c r="B111" s="7"/>
      <c r="C111" s="146" t="s">
        <v>161</v>
      </c>
      <c r="D111" s="13"/>
      <c r="E111" s="13"/>
      <c r="F111" s="13"/>
      <c r="G111" s="13"/>
      <c r="H111" s="13"/>
      <c r="I111" s="13"/>
      <c r="J111" s="13"/>
      <c r="K111" s="13"/>
      <c r="L111" s="13"/>
      <c r="M111" s="13"/>
      <c r="N111" s="13"/>
      <c r="O111" s="13"/>
      <c r="P111" s="13"/>
      <c r="Q111" s="13"/>
      <c r="R111" s="13"/>
      <c r="S111" s="147"/>
      <c r="T111" s="332">
        <f>T102</f>
        <v>7361886.138500018</v>
      </c>
      <c r="U111" s="333"/>
      <c r="V111" s="333"/>
      <c r="W111" s="334"/>
      <c r="X111" s="2"/>
      <c r="Z111" s="94"/>
    </row>
    <row r="112" spans="2:50">
      <c r="B112" s="7"/>
      <c r="C112" s="149" t="s">
        <v>162</v>
      </c>
      <c r="D112" s="22"/>
      <c r="E112" s="22"/>
      <c r="F112" s="22"/>
      <c r="G112" s="22"/>
      <c r="H112" s="22"/>
      <c r="I112" s="22"/>
      <c r="J112" s="22"/>
      <c r="K112" s="22"/>
      <c r="L112" s="22"/>
      <c r="M112" s="22"/>
      <c r="N112" s="22"/>
      <c r="O112" s="22"/>
      <c r="P112" s="22"/>
      <c r="Q112" s="22"/>
      <c r="R112" s="22"/>
      <c r="S112" s="150"/>
      <c r="T112" s="335">
        <f>P159</f>
        <v>71196101.239503041</v>
      </c>
      <c r="U112" s="336"/>
      <c r="V112" s="336"/>
      <c r="W112" s="337"/>
      <c r="X112" s="2"/>
    </row>
    <row r="113" spans="2:29" ht="15" thickBot="1">
      <c r="B113" s="7"/>
      <c r="C113" s="151" t="s">
        <v>163</v>
      </c>
      <c r="D113" s="28"/>
      <c r="E113" s="28"/>
      <c r="F113" s="28"/>
      <c r="G113" s="28"/>
      <c r="H113" s="28"/>
      <c r="I113" s="28"/>
      <c r="J113" s="28"/>
      <c r="K113" s="28"/>
      <c r="L113" s="28"/>
      <c r="M113" s="28"/>
      <c r="N113" s="28"/>
      <c r="O113" s="28"/>
      <c r="P113" s="28"/>
      <c r="Q113" s="28"/>
      <c r="R113" s="28"/>
      <c r="S113" s="152"/>
      <c r="T113" s="338">
        <f>MAX(T111-T112,0)</f>
        <v>0</v>
      </c>
      <c r="U113" s="339"/>
      <c r="V113" s="339"/>
      <c r="W113" s="340"/>
      <c r="X113" s="2"/>
      <c r="Y113" s="8"/>
      <c r="Z113" s="6"/>
      <c r="AC113" s="8"/>
    </row>
    <row r="114" spans="2:29" ht="15" thickBot="1">
      <c r="B114" s="7"/>
      <c r="C114" s="136"/>
      <c r="D114" s="9"/>
      <c r="E114" s="9"/>
      <c r="F114" s="9"/>
      <c r="G114" s="9"/>
      <c r="H114" s="9"/>
      <c r="I114" s="9"/>
      <c r="J114" s="9"/>
      <c r="K114" s="9"/>
      <c r="L114" s="9"/>
      <c r="M114" s="9"/>
      <c r="N114" s="9"/>
      <c r="O114" s="9"/>
      <c r="P114" s="9"/>
      <c r="Q114" s="144"/>
      <c r="R114" s="144"/>
      <c r="S114" s="144"/>
      <c r="T114" s="144"/>
      <c r="U114" s="144"/>
      <c r="V114" s="145"/>
      <c r="W114" s="2"/>
      <c r="X114" s="2"/>
      <c r="Z114" s="6"/>
    </row>
    <row r="115" spans="2:29" ht="15" thickBot="1">
      <c r="B115" s="7"/>
      <c r="C115" s="282" t="s">
        <v>164</v>
      </c>
      <c r="D115" s="283"/>
      <c r="E115" s="283"/>
      <c r="F115" s="283"/>
      <c r="G115" s="283"/>
      <c r="H115" s="283"/>
      <c r="I115" s="283"/>
      <c r="J115" s="283"/>
      <c r="K115" s="283"/>
      <c r="L115" s="283"/>
      <c r="M115" s="283"/>
      <c r="N115" s="283"/>
      <c r="O115" s="283"/>
      <c r="P115" s="283"/>
      <c r="Q115" s="283"/>
      <c r="R115" s="283"/>
      <c r="S115" s="283"/>
      <c r="T115" s="283"/>
      <c r="U115" s="283"/>
      <c r="V115" s="283"/>
      <c r="W115" s="284"/>
      <c r="X115" s="2"/>
      <c r="Z115" s="6"/>
    </row>
    <row r="116" spans="2:29">
      <c r="B116" s="7"/>
      <c r="C116" s="153"/>
      <c r="D116" s="154"/>
      <c r="E116" s="154"/>
      <c r="F116" s="154"/>
      <c r="G116" s="154"/>
      <c r="H116" s="154"/>
      <c r="I116" s="154"/>
      <c r="J116" s="154"/>
      <c r="K116" s="154"/>
      <c r="L116" s="341" t="s">
        <v>165</v>
      </c>
      <c r="M116" s="342"/>
      <c r="N116" s="343"/>
      <c r="O116" s="344" t="s">
        <v>166</v>
      </c>
      <c r="P116" s="345"/>
      <c r="Q116" s="346"/>
      <c r="R116" s="344" t="s">
        <v>167</v>
      </c>
      <c r="S116" s="345"/>
      <c r="T116" s="346"/>
      <c r="U116" s="344" t="s">
        <v>168</v>
      </c>
      <c r="V116" s="345"/>
      <c r="W116" s="347"/>
      <c r="X116" s="2"/>
    </row>
    <row r="117" spans="2:29">
      <c r="B117" s="7"/>
      <c r="C117" s="149" t="s">
        <v>169</v>
      </c>
      <c r="D117" s="33"/>
      <c r="E117" s="33"/>
      <c r="F117" s="33"/>
      <c r="G117" s="33"/>
      <c r="H117" s="33"/>
      <c r="I117" s="33"/>
      <c r="J117" s="33"/>
      <c r="K117" s="33"/>
      <c r="L117" s="324">
        <v>0</v>
      </c>
      <c r="M117" s="325"/>
      <c r="N117" s="326"/>
      <c r="O117" s="324">
        <v>0</v>
      </c>
      <c r="P117" s="325"/>
      <c r="Q117" s="326"/>
      <c r="R117" s="324" t="s">
        <v>170</v>
      </c>
      <c r="S117" s="325"/>
      <c r="T117" s="326"/>
      <c r="U117" s="324" t="s">
        <v>170</v>
      </c>
      <c r="V117" s="325"/>
      <c r="W117" s="327"/>
      <c r="X117" s="2"/>
    </row>
    <row r="118" spans="2:29" ht="15" thickBot="1">
      <c r="B118" s="7"/>
      <c r="C118" s="151" t="s">
        <v>171</v>
      </c>
      <c r="D118" s="133"/>
      <c r="E118" s="133"/>
      <c r="F118" s="133"/>
      <c r="G118" s="133"/>
      <c r="H118" s="133"/>
      <c r="I118" s="133"/>
      <c r="J118" s="133"/>
      <c r="K118" s="133"/>
      <c r="L118" s="328">
        <v>0</v>
      </c>
      <c r="M118" s="329"/>
      <c r="N118" s="330"/>
      <c r="O118" s="328">
        <v>0</v>
      </c>
      <c r="P118" s="329"/>
      <c r="Q118" s="330"/>
      <c r="R118" s="328" t="s">
        <v>170</v>
      </c>
      <c r="S118" s="329"/>
      <c r="T118" s="330"/>
      <c r="U118" s="328" t="s">
        <v>170</v>
      </c>
      <c r="V118" s="329"/>
      <c r="W118" s="331"/>
      <c r="X118" s="2"/>
    </row>
    <row r="119" spans="2:29" ht="15" thickBot="1">
      <c r="B119" s="7"/>
      <c r="C119" s="136"/>
      <c r="D119" s="9"/>
      <c r="E119" s="9"/>
      <c r="F119" s="9"/>
      <c r="G119" s="9"/>
      <c r="H119" s="9"/>
      <c r="I119" s="9"/>
      <c r="J119" s="9"/>
      <c r="K119" s="9"/>
      <c r="L119" s="9"/>
      <c r="M119" s="9"/>
      <c r="N119" s="9"/>
      <c r="O119" s="9"/>
      <c r="P119" s="9"/>
      <c r="Q119" s="9"/>
      <c r="R119" s="9"/>
      <c r="S119" s="9"/>
      <c r="T119" s="9"/>
      <c r="U119" s="9"/>
      <c r="V119" s="9"/>
      <c r="W119" s="2"/>
      <c r="X119" s="2"/>
      <c r="Z119" s="6"/>
    </row>
    <row r="120" spans="2:29" ht="15" thickBot="1">
      <c r="B120" s="7"/>
      <c r="C120" s="282" t="s">
        <v>172</v>
      </c>
      <c r="D120" s="283"/>
      <c r="E120" s="283"/>
      <c r="F120" s="283"/>
      <c r="G120" s="283"/>
      <c r="H120" s="283"/>
      <c r="I120" s="283"/>
      <c r="J120" s="283"/>
      <c r="K120" s="283"/>
      <c r="L120" s="283"/>
      <c r="M120" s="283"/>
      <c r="N120" s="283"/>
      <c r="O120" s="283"/>
      <c r="P120" s="283"/>
      <c r="Q120" s="283"/>
      <c r="R120" s="283"/>
      <c r="S120" s="283"/>
      <c r="T120" s="283"/>
      <c r="U120" s="283"/>
      <c r="V120" s="283"/>
      <c r="W120" s="284"/>
      <c r="X120" s="2"/>
      <c r="Z120" s="6"/>
    </row>
    <row r="121" spans="2:29">
      <c r="B121" s="7"/>
      <c r="C121" s="73" t="s">
        <v>173</v>
      </c>
      <c r="D121" s="37"/>
      <c r="E121" s="37"/>
      <c r="F121" s="37"/>
      <c r="G121" s="37"/>
      <c r="H121" s="37"/>
      <c r="I121" s="37"/>
      <c r="J121" s="37"/>
      <c r="K121" s="37"/>
      <c r="L121" s="37"/>
      <c r="M121" s="37"/>
      <c r="N121" s="37"/>
      <c r="O121" s="37"/>
      <c r="P121" s="37"/>
      <c r="Q121" s="37"/>
      <c r="R121" s="37"/>
      <c r="S121" s="37"/>
      <c r="T121" s="350" t="s">
        <v>174</v>
      </c>
      <c r="U121" s="351"/>
      <c r="V121" s="155"/>
      <c r="W121" s="156"/>
      <c r="X121" s="2"/>
    </row>
    <row r="122" spans="2:29">
      <c r="B122" s="7"/>
      <c r="C122" s="73" t="s">
        <v>175</v>
      </c>
      <c r="D122" s="37"/>
      <c r="E122" s="37"/>
      <c r="F122" s="37"/>
      <c r="G122" s="37"/>
      <c r="H122" s="37"/>
      <c r="I122" s="37"/>
      <c r="J122" s="37"/>
      <c r="K122" s="37"/>
      <c r="L122" s="37"/>
      <c r="M122" s="37"/>
      <c r="N122" s="37"/>
      <c r="O122" s="37"/>
      <c r="P122" s="37"/>
      <c r="Q122" s="37"/>
      <c r="R122" s="37"/>
      <c r="S122" s="37"/>
      <c r="T122" s="350" t="s">
        <v>174</v>
      </c>
      <c r="U122" s="351"/>
      <c r="V122" s="155"/>
      <c r="W122" s="156"/>
      <c r="X122" s="2"/>
    </row>
    <row r="123" spans="2:29">
      <c r="B123" s="7"/>
      <c r="C123" s="73" t="s">
        <v>176</v>
      </c>
      <c r="D123" s="37"/>
      <c r="E123" s="37"/>
      <c r="F123" s="37"/>
      <c r="G123" s="37"/>
      <c r="H123" s="37"/>
      <c r="I123" s="37"/>
      <c r="J123" s="37"/>
      <c r="K123" s="37"/>
      <c r="L123" s="37"/>
      <c r="M123" s="37"/>
      <c r="N123" s="37"/>
      <c r="O123" s="37"/>
      <c r="P123" s="37"/>
      <c r="Q123" s="37"/>
      <c r="R123" s="37"/>
      <c r="S123" s="37"/>
      <c r="T123" s="350" t="s">
        <v>170</v>
      </c>
      <c r="U123" s="351"/>
      <c r="V123" s="155"/>
      <c r="W123" s="156"/>
      <c r="X123" s="2"/>
    </row>
    <row r="124" spans="2:29">
      <c r="B124" s="7"/>
      <c r="C124" s="146" t="s">
        <v>177</v>
      </c>
      <c r="D124" s="116"/>
      <c r="E124" s="116"/>
      <c r="F124" s="116"/>
      <c r="G124" s="116"/>
      <c r="H124" s="116"/>
      <c r="I124" s="116"/>
      <c r="J124" s="116"/>
      <c r="K124" s="116"/>
      <c r="L124" s="116"/>
      <c r="M124" s="116"/>
      <c r="N124" s="116"/>
      <c r="O124" s="116"/>
      <c r="P124" s="116"/>
      <c r="Q124" s="116"/>
      <c r="R124" s="116"/>
      <c r="S124" s="116"/>
      <c r="T124" s="352" t="s">
        <v>174</v>
      </c>
      <c r="U124" s="353"/>
      <c r="V124" s="353"/>
      <c r="W124" s="354"/>
      <c r="X124" s="2"/>
    </row>
    <row r="125" spans="2:29">
      <c r="B125" s="7"/>
      <c r="C125" s="157" t="s">
        <v>178</v>
      </c>
      <c r="D125" s="98"/>
      <c r="E125" s="98"/>
      <c r="F125" s="98"/>
      <c r="G125" s="98"/>
      <c r="H125" s="98"/>
      <c r="I125" s="98"/>
      <c r="J125" s="98"/>
      <c r="K125" s="98"/>
      <c r="L125" s="98"/>
      <c r="M125" s="98"/>
      <c r="N125" s="98"/>
      <c r="O125" s="98"/>
      <c r="P125" s="98"/>
      <c r="Q125" s="158"/>
      <c r="R125" s="159"/>
      <c r="S125" s="159"/>
      <c r="T125" s="355" t="s">
        <v>174</v>
      </c>
      <c r="U125" s="356"/>
      <c r="V125" s="160"/>
      <c r="W125" s="161"/>
      <c r="X125" s="2"/>
    </row>
    <row r="126" spans="2:29">
      <c r="B126" s="7"/>
      <c r="C126" s="119" t="s">
        <v>179</v>
      </c>
      <c r="D126" s="37"/>
      <c r="E126" s="37"/>
      <c r="F126" s="37"/>
      <c r="G126" s="37"/>
      <c r="H126" s="37"/>
      <c r="I126" s="37"/>
      <c r="J126" s="37"/>
      <c r="K126" s="37"/>
      <c r="L126" s="37"/>
      <c r="M126" s="37"/>
      <c r="N126" s="37"/>
      <c r="O126" s="37"/>
      <c r="P126" s="37"/>
      <c r="Q126" s="159"/>
      <c r="R126" s="159"/>
      <c r="S126" s="159"/>
      <c r="T126" s="348" t="s">
        <v>174</v>
      </c>
      <c r="U126" s="349"/>
      <c r="V126" s="160"/>
      <c r="W126" s="161"/>
      <c r="X126" s="2"/>
    </row>
    <row r="127" spans="2:29">
      <c r="B127" s="7"/>
      <c r="C127" s="119" t="s">
        <v>180</v>
      </c>
      <c r="D127" s="37"/>
      <c r="E127" s="37"/>
      <c r="F127" s="37"/>
      <c r="G127" s="37"/>
      <c r="H127" s="37"/>
      <c r="I127" s="37"/>
      <c r="J127" s="37"/>
      <c r="K127" s="37"/>
      <c r="L127" s="37"/>
      <c r="M127" s="37"/>
      <c r="N127" s="37"/>
      <c r="O127" s="37"/>
      <c r="P127" s="37"/>
      <c r="Q127" s="159"/>
      <c r="R127" s="159"/>
      <c r="S127" s="159"/>
      <c r="T127" s="348" t="s">
        <v>174</v>
      </c>
      <c r="U127" s="349"/>
      <c r="V127" s="160"/>
      <c r="W127" s="161"/>
      <c r="X127" s="2"/>
    </row>
    <row r="128" spans="2:29">
      <c r="B128" s="7"/>
      <c r="C128" s="119" t="s">
        <v>181</v>
      </c>
      <c r="D128" s="37"/>
      <c r="E128" s="37"/>
      <c r="F128" s="37"/>
      <c r="G128" s="37"/>
      <c r="H128" s="37"/>
      <c r="I128" s="37"/>
      <c r="J128" s="37"/>
      <c r="K128" s="37"/>
      <c r="L128" s="37"/>
      <c r="M128" s="37"/>
      <c r="N128" s="37"/>
      <c r="O128" s="37"/>
      <c r="P128" s="37"/>
      <c r="Q128" s="159"/>
      <c r="R128" s="159"/>
      <c r="S128" s="159"/>
      <c r="T128" s="348" t="s">
        <v>170</v>
      </c>
      <c r="U128" s="349"/>
      <c r="V128" s="160"/>
      <c r="W128" s="161"/>
      <c r="X128" s="2"/>
    </row>
    <row r="129" spans="2:24">
      <c r="B129" s="7"/>
      <c r="C129" s="119" t="s">
        <v>182</v>
      </c>
      <c r="D129" s="37"/>
      <c r="E129" s="37"/>
      <c r="F129" s="37"/>
      <c r="G129" s="37"/>
      <c r="H129" s="37"/>
      <c r="I129" s="37"/>
      <c r="J129" s="37"/>
      <c r="K129" s="37"/>
      <c r="L129" s="37"/>
      <c r="M129" s="37"/>
      <c r="N129" s="37"/>
      <c r="O129" s="37"/>
      <c r="P129" s="37"/>
      <c r="Q129" s="159"/>
      <c r="R129" s="159"/>
      <c r="S129" s="159"/>
      <c r="T129" s="348" t="s">
        <v>170</v>
      </c>
      <c r="U129" s="349"/>
      <c r="V129" s="160"/>
      <c r="W129" s="161"/>
      <c r="X129" s="2"/>
    </row>
    <row r="130" spans="2:24">
      <c r="B130" s="7"/>
      <c r="C130" s="119" t="s">
        <v>183</v>
      </c>
      <c r="D130" s="37"/>
      <c r="E130" s="37"/>
      <c r="F130" s="37"/>
      <c r="G130" s="37"/>
      <c r="H130" s="37"/>
      <c r="I130" s="37"/>
      <c r="J130" s="37"/>
      <c r="K130" s="37"/>
      <c r="L130" s="37"/>
      <c r="M130" s="37"/>
      <c r="N130" s="37"/>
      <c r="O130" s="37"/>
      <c r="P130" s="37"/>
      <c r="Q130" s="159"/>
      <c r="R130" s="159"/>
      <c r="S130" s="159"/>
      <c r="T130" s="348" t="s">
        <v>170</v>
      </c>
      <c r="U130" s="349"/>
      <c r="V130" s="160"/>
      <c r="W130" s="161"/>
      <c r="X130" s="2"/>
    </row>
    <row r="131" spans="2:24">
      <c r="B131" s="7"/>
      <c r="C131" s="119" t="s">
        <v>184</v>
      </c>
      <c r="D131" s="37"/>
      <c r="E131" s="37"/>
      <c r="F131" s="37"/>
      <c r="G131" s="37"/>
      <c r="H131" s="37"/>
      <c r="I131" s="37"/>
      <c r="J131" s="37"/>
      <c r="K131" s="37"/>
      <c r="L131" s="37"/>
      <c r="M131" s="37"/>
      <c r="N131" s="37"/>
      <c r="O131" s="37"/>
      <c r="P131" s="37"/>
      <c r="Q131" s="159"/>
      <c r="R131" s="159"/>
      <c r="S131" s="159"/>
      <c r="T131" s="348" t="s">
        <v>170</v>
      </c>
      <c r="U131" s="349"/>
      <c r="V131" s="160"/>
      <c r="W131" s="161"/>
      <c r="X131" s="2"/>
    </row>
    <row r="132" spans="2:24">
      <c r="B132" s="7"/>
      <c r="C132" s="119" t="s">
        <v>185</v>
      </c>
      <c r="D132" s="37"/>
      <c r="E132" s="37"/>
      <c r="F132" s="37"/>
      <c r="G132" s="37"/>
      <c r="H132" s="37"/>
      <c r="I132" s="37"/>
      <c r="J132" s="37"/>
      <c r="K132" s="37"/>
      <c r="L132" s="37"/>
      <c r="M132" s="37"/>
      <c r="N132" s="37"/>
      <c r="O132" s="37"/>
      <c r="P132" s="37"/>
      <c r="Q132" s="159"/>
      <c r="R132" s="159"/>
      <c r="S132" s="159"/>
      <c r="T132" s="348" t="s">
        <v>170</v>
      </c>
      <c r="U132" s="349"/>
      <c r="V132" s="160"/>
      <c r="W132" s="161"/>
      <c r="X132" s="2"/>
    </row>
    <row r="133" spans="2:24">
      <c r="B133" s="7"/>
      <c r="C133" s="146" t="s">
        <v>186</v>
      </c>
      <c r="D133" s="116"/>
      <c r="E133" s="116"/>
      <c r="F133" s="116"/>
      <c r="G133" s="116"/>
      <c r="H133" s="116"/>
      <c r="I133" s="116"/>
      <c r="J133" s="116"/>
      <c r="K133" s="116"/>
      <c r="L133" s="116"/>
      <c r="M133" s="116"/>
      <c r="N133" s="116"/>
      <c r="O133" s="116"/>
      <c r="P133" s="116"/>
      <c r="Q133" s="162"/>
      <c r="R133" s="162"/>
      <c r="S133" s="162"/>
      <c r="T133" s="352" t="s">
        <v>174</v>
      </c>
      <c r="U133" s="353"/>
      <c r="V133" s="353"/>
      <c r="W133" s="354"/>
      <c r="X133" s="2"/>
    </row>
    <row r="134" spans="2:24">
      <c r="B134" s="7"/>
      <c r="C134" s="157" t="s">
        <v>187</v>
      </c>
      <c r="D134" s="98"/>
      <c r="E134" s="98"/>
      <c r="F134" s="98"/>
      <c r="G134" s="98"/>
      <c r="H134" s="98"/>
      <c r="I134" s="98"/>
      <c r="J134" s="98"/>
      <c r="K134" s="98"/>
      <c r="L134" s="98"/>
      <c r="M134" s="98"/>
      <c r="N134" s="98"/>
      <c r="O134" s="98"/>
      <c r="P134" s="98"/>
      <c r="Q134" s="158"/>
      <c r="R134" s="158"/>
      <c r="S134" s="158"/>
      <c r="T134" s="371" t="s">
        <v>174</v>
      </c>
      <c r="U134" s="372"/>
      <c r="V134" s="163"/>
      <c r="W134" s="164"/>
      <c r="X134" s="2"/>
    </row>
    <row r="135" spans="2:24" ht="15" thickBot="1">
      <c r="B135" s="7"/>
      <c r="C135" s="151" t="s">
        <v>188</v>
      </c>
      <c r="D135" s="133"/>
      <c r="E135" s="133"/>
      <c r="F135" s="133"/>
      <c r="G135" s="133"/>
      <c r="H135" s="133"/>
      <c r="I135" s="133"/>
      <c r="J135" s="133"/>
      <c r="K135" s="133"/>
      <c r="L135" s="133"/>
      <c r="M135" s="133"/>
      <c r="N135" s="133"/>
      <c r="O135" s="133"/>
      <c r="P135" s="133"/>
      <c r="Q135" s="165"/>
      <c r="R135" s="165"/>
      <c r="S135" s="165"/>
      <c r="T135" s="373" t="s">
        <v>174</v>
      </c>
      <c r="U135" s="374"/>
      <c r="V135" s="374"/>
      <c r="W135" s="375"/>
      <c r="X135" s="2"/>
    </row>
    <row r="136" spans="2:24" ht="15" thickBot="1">
      <c r="B136" s="7"/>
      <c r="C136" s="136"/>
      <c r="D136" s="9"/>
      <c r="E136" s="9"/>
      <c r="F136" s="9"/>
      <c r="G136" s="9"/>
      <c r="H136" s="9"/>
      <c r="I136" s="9"/>
      <c r="J136" s="9"/>
      <c r="K136" s="9"/>
      <c r="L136" s="9"/>
      <c r="M136" s="9"/>
      <c r="N136" s="9"/>
      <c r="O136" s="9"/>
      <c r="P136" s="9"/>
      <c r="Q136" s="9"/>
      <c r="R136" s="9"/>
      <c r="S136" s="9"/>
      <c r="T136" s="9"/>
      <c r="U136" s="9"/>
      <c r="V136" s="9"/>
      <c r="W136" s="2"/>
      <c r="X136" s="2"/>
    </row>
    <row r="137" spans="2:24" ht="15" thickBot="1">
      <c r="B137" s="7"/>
      <c r="C137" s="282" t="s">
        <v>189</v>
      </c>
      <c r="D137" s="283"/>
      <c r="E137" s="283"/>
      <c r="F137" s="283"/>
      <c r="G137" s="283"/>
      <c r="H137" s="283"/>
      <c r="I137" s="283"/>
      <c r="J137" s="283"/>
      <c r="K137" s="283"/>
      <c r="L137" s="283"/>
      <c r="M137" s="283"/>
      <c r="N137" s="283"/>
      <c r="O137" s="283"/>
      <c r="P137" s="283"/>
      <c r="Q137" s="283"/>
      <c r="R137" s="283"/>
      <c r="S137" s="283"/>
      <c r="T137" s="283"/>
      <c r="U137" s="283"/>
      <c r="V137" s="283"/>
      <c r="W137" s="284"/>
      <c r="X137" s="2"/>
    </row>
    <row r="138" spans="2:24" ht="45.75" customHeight="1">
      <c r="B138" s="7"/>
      <c r="C138" s="376" t="s">
        <v>190</v>
      </c>
      <c r="D138" s="377"/>
      <c r="E138" s="377"/>
      <c r="F138" s="377"/>
      <c r="G138" s="377"/>
      <c r="H138" s="377"/>
      <c r="I138" s="377"/>
      <c r="J138" s="377"/>
      <c r="K138" s="378"/>
      <c r="L138" s="379" t="s">
        <v>191</v>
      </c>
      <c r="M138" s="380"/>
      <c r="N138" s="380"/>
      <c r="O138" s="381"/>
      <c r="P138" s="382" t="s">
        <v>192</v>
      </c>
      <c r="Q138" s="383"/>
      <c r="R138" s="383"/>
      <c r="S138" s="384"/>
      <c r="T138" s="385" t="s">
        <v>193</v>
      </c>
      <c r="U138" s="386"/>
      <c r="V138" s="386"/>
      <c r="W138" s="387"/>
      <c r="X138" s="2"/>
    </row>
    <row r="139" spans="2:24">
      <c r="B139" s="7"/>
      <c r="C139" s="149" t="s">
        <v>190</v>
      </c>
      <c r="D139" s="33"/>
      <c r="E139" s="33"/>
      <c r="F139" s="33"/>
      <c r="G139" s="33"/>
      <c r="H139" s="33"/>
      <c r="I139" s="33"/>
      <c r="J139" s="33"/>
      <c r="K139" s="33"/>
      <c r="L139" s="357">
        <v>2391852.96</v>
      </c>
      <c r="M139" s="358"/>
      <c r="N139" s="358"/>
      <c r="O139" s="359"/>
      <c r="P139" s="360">
        <f>T95</f>
        <v>106670936.98301278</v>
      </c>
      <c r="Q139" s="361"/>
      <c r="R139" s="361"/>
      <c r="S139" s="362"/>
      <c r="T139" s="363">
        <f>L139</f>
        <v>2391852.96</v>
      </c>
      <c r="U139" s="363"/>
      <c r="V139" s="363"/>
      <c r="W139" s="364"/>
      <c r="X139" s="2"/>
    </row>
    <row r="140" spans="2:24">
      <c r="B140" s="7"/>
      <c r="C140" s="124" t="s">
        <v>194</v>
      </c>
      <c r="D140" s="98"/>
      <c r="E140" s="98"/>
      <c r="F140" s="98"/>
      <c r="G140" s="98"/>
      <c r="H140" s="98"/>
      <c r="I140" s="98"/>
      <c r="J140" s="98"/>
      <c r="K140" s="98"/>
      <c r="L140" s="365">
        <f>SUM(L141:M142)</f>
        <v>94354.4099999998</v>
      </c>
      <c r="M140" s="366"/>
      <c r="N140" s="366"/>
      <c r="O140" s="367"/>
      <c r="P140" s="368">
        <f>P139-T139</f>
        <v>104279084.02301279</v>
      </c>
      <c r="Q140" s="369"/>
      <c r="R140" s="369"/>
      <c r="S140" s="369"/>
      <c r="T140" s="368">
        <f>SUM(T141:T142)</f>
        <v>94354.4099999998</v>
      </c>
      <c r="U140" s="369"/>
      <c r="V140" s="369"/>
      <c r="W140" s="370"/>
      <c r="X140" s="2"/>
    </row>
    <row r="141" spans="2:24">
      <c r="B141" s="7"/>
      <c r="C141" s="73" t="s">
        <v>195</v>
      </c>
      <c r="D141" s="37"/>
      <c r="E141" s="37"/>
      <c r="F141" s="37"/>
      <c r="G141" s="37"/>
      <c r="H141" s="37"/>
      <c r="I141" s="37"/>
      <c r="J141" s="37"/>
      <c r="K141" s="37"/>
      <c r="L141" s="388">
        <v>83466.539999999775</v>
      </c>
      <c r="M141" s="389"/>
      <c r="N141" s="103"/>
      <c r="O141" s="99"/>
      <c r="P141" s="297">
        <f>P140*L141/$L$140</f>
        <v>92245972.793112189</v>
      </c>
      <c r="Q141" s="298"/>
      <c r="R141" s="99"/>
      <c r="S141" s="100"/>
      <c r="T141" s="297">
        <f>L141</f>
        <v>83466.539999999775</v>
      </c>
      <c r="U141" s="298"/>
      <c r="V141" s="99"/>
      <c r="W141" s="2"/>
      <c r="X141" s="2"/>
    </row>
    <row r="142" spans="2:24">
      <c r="B142" s="7"/>
      <c r="C142" s="73" t="s">
        <v>196</v>
      </c>
      <c r="D142" s="37"/>
      <c r="E142" s="37"/>
      <c r="F142" s="37"/>
      <c r="G142" s="37"/>
      <c r="H142" s="37"/>
      <c r="I142" s="37"/>
      <c r="J142" s="37"/>
      <c r="K142" s="37"/>
      <c r="L142" s="390">
        <v>10887.870000000017</v>
      </c>
      <c r="M142" s="391"/>
      <c r="N142" s="103"/>
      <c r="O142" s="148"/>
      <c r="P142" s="332">
        <f>P140*L142/$L$140</f>
        <v>12033111.229900589</v>
      </c>
      <c r="Q142" s="333"/>
      <c r="R142" s="148"/>
      <c r="S142" s="113"/>
      <c r="T142" s="297">
        <f>L142</f>
        <v>10887.870000000017</v>
      </c>
      <c r="U142" s="298"/>
      <c r="V142" s="99"/>
      <c r="W142" s="2"/>
      <c r="X142" s="2"/>
    </row>
    <row r="143" spans="2:24">
      <c r="B143" s="7"/>
      <c r="C143" s="124" t="s">
        <v>197</v>
      </c>
      <c r="D143" s="98"/>
      <c r="E143" s="98"/>
      <c r="F143" s="98"/>
      <c r="G143" s="98"/>
      <c r="H143" s="98"/>
      <c r="I143" s="98"/>
      <c r="J143" s="98"/>
      <c r="K143" s="98"/>
      <c r="L143" s="365">
        <f>SUM(L144:M145)</f>
        <v>1847955.9499999988</v>
      </c>
      <c r="M143" s="366"/>
      <c r="N143" s="366"/>
      <c r="O143" s="367"/>
      <c r="P143" s="368">
        <f>P140-T140</f>
        <v>104184729.61301279</v>
      </c>
      <c r="Q143" s="369"/>
      <c r="R143" s="369"/>
      <c r="S143" s="369"/>
      <c r="T143" s="368">
        <f>SUM(T144:T145)</f>
        <v>1847955.9499999988</v>
      </c>
      <c r="U143" s="369"/>
      <c r="V143" s="369"/>
      <c r="W143" s="370"/>
      <c r="X143" s="2"/>
    </row>
    <row r="144" spans="2:24">
      <c r="B144" s="7"/>
      <c r="C144" s="73" t="s">
        <v>198</v>
      </c>
      <c r="D144" s="37"/>
      <c r="E144" s="37"/>
      <c r="F144" s="37"/>
      <c r="G144" s="37"/>
      <c r="H144" s="37"/>
      <c r="I144" s="37"/>
      <c r="J144" s="37"/>
      <c r="K144" s="37"/>
      <c r="L144" s="388">
        <v>240</v>
      </c>
      <c r="M144" s="389"/>
      <c r="N144" s="103"/>
      <c r="O144" s="99"/>
      <c r="P144" s="297">
        <f>$P$143*L144/$L$143</f>
        <v>13530.806893488498</v>
      </c>
      <c r="Q144" s="298"/>
      <c r="R144" s="99"/>
      <c r="S144" s="100"/>
      <c r="T144" s="297">
        <f>L144</f>
        <v>240</v>
      </c>
      <c r="U144" s="298"/>
      <c r="V144" s="99"/>
      <c r="W144" s="2"/>
      <c r="X144" s="2"/>
    </row>
    <row r="145" spans="2:24">
      <c r="B145" s="7"/>
      <c r="C145" s="73" t="s">
        <v>199</v>
      </c>
      <c r="D145" s="37"/>
      <c r="E145" s="37"/>
      <c r="F145" s="37"/>
      <c r="G145" s="37"/>
      <c r="H145" s="37"/>
      <c r="I145" s="37"/>
      <c r="J145" s="37"/>
      <c r="K145" s="37"/>
      <c r="L145" s="394">
        <v>1847715.9499999988</v>
      </c>
      <c r="M145" s="395"/>
      <c r="N145" s="106"/>
      <c r="O145" s="99"/>
      <c r="P145" s="332">
        <f>IFERROR($P$143*L145/$L$143,0)</f>
        <v>104171198.80611931</v>
      </c>
      <c r="Q145" s="333"/>
      <c r="R145" s="148"/>
      <c r="S145" s="113"/>
      <c r="T145" s="297">
        <f>L145</f>
        <v>1847715.9499999988</v>
      </c>
      <c r="U145" s="298"/>
      <c r="V145" s="99"/>
      <c r="W145" s="2"/>
      <c r="X145" s="2"/>
    </row>
    <row r="146" spans="2:24">
      <c r="B146" s="7"/>
      <c r="C146" s="124" t="s">
        <v>200</v>
      </c>
      <c r="D146" s="98"/>
      <c r="E146" s="98"/>
      <c r="F146" s="98"/>
      <c r="G146" s="98"/>
      <c r="H146" s="98"/>
      <c r="I146" s="98"/>
      <c r="J146" s="98"/>
      <c r="K146" s="98"/>
      <c r="L146" s="365">
        <f>SUM(L147:M149)</f>
        <v>3797500.3800000008</v>
      </c>
      <c r="M146" s="366"/>
      <c r="N146" s="366"/>
      <c r="O146" s="367"/>
      <c r="P146" s="368">
        <f>P143-T143</f>
        <v>102336773.66301279</v>
      </c>
      <c r="Q146" s="369"/>
      <c r="R146" s="369"/>
      <c r="S146" s="369"/>
      <c r="T146" s="368">
        <f>SUM(T147:T149)</f>
        <v>3797500.3800000008</v>
      </c>
      <c r="U146" s="369"/>
      <c r="V146" s="369"/>
      <c r="W146" s="370"/>
      <c r="X146" s="2"/>
    </row>
    <row r="147" spans="2:24">
      <c r="B147" s="7"/>
      <c r="C147" s="73" t="s">
        <v>201</v>
      </c>
      <c r="D147" s="37"/>
      <c r="E147" s="37"/>
      <c r="F147" s="37"/>
      <c r="G147" s="37"/>
      <c r="H147" s="37"/>
      <c r="I147" s="37"/>
      <c r="J147" s="37"/>
      <c r="K147" s="37"/>
      <c r="L147" s="392">
        <v>3191401.7300000004</v>
      </c>
      <c r="M147" s="393"/>
      <c r="N147" s="103"/>
      <c r="O147" s="169"/>
      <c r="P147" s="297">
        <f>$P$146*L147/$L$146</f>
        <v>86003350.580509335</v>
      </c>
      <c r="Q147" s="298"/>
      <c r="R147" s="99"/>
      <c r="S147" s="100"/>
      <c r="T147" s="297">
        <f>L147</f>
        <v>3191401.7300000004</v>
      </c>
      <c r="U147" s="298"/>
      <c r="V147" s="99"/>
      <c r="W147" s="2"/>
      <c r="X147" s="2"/>
    </row>
    <row r="148" spans="2:24">
      <c r="B148" s="7"/>
      <c r="C148" s="73" t="s">
        <v>202</v>
      </c>
      <c r="D148" s="37"/>
      <c r="E148" s="37"/>
      <c r="F148" s="37"/>
      <c r="G148" s="37"/>
      <c r="H148" s="37"/>
      <c r="I148" s="37"/>
      <c r="J148" s="37"/>
      <c r="K148" s="37"/>
      <c r="L148" s="388">
        <v>43125</v>
      </c>
      <c r="M148" s="389"/>
      <c r="N148" s="103"/>
      <c r="O148" s="169"/>
      <c r="P148" s="297">
        <f>$P$146*L148/$L$146</f>
        <v>1162152.1850163518</v>
      </c>
      <c r="Q148" s="298"/>
      <c r="R148" s="99"/>
      <c r="S148" s="100"/>
      <c r="T148" s="297">
        <f>L148</f>
        <v>43125</v>
      </c>
      <c r="U148" s="298"/>
      <c r="V148" s="99"/>
      <c r="W148" s="2"/>
      <c r="X148" s="2"/>
    </row>
    <row r="149" spans="2:24">
      <c r="B149" s="7"/>
      <c r="C149" s="73" t="s">
        <v>203</v>
      </c>
      <c r="D149" s="37"/>
      <c r="E149" s="37"/>
      <c r="F149" s="37"/>
      <c r="G149" s="37"/>
      <c r="H149" s="37"/>
      <c r="I149" s="37"/>
      <c r="J149" s="37"/>
      <c r="K149" s="37"/>
      <c r="L149" s="402">
        <v>562973.65000000037</v>
      </c>
      <c r="M149" s="403"/>
      <c r="N149" s="168"/>
      <c r="O149" s="170"/>
      <c r="P149" s="332">
        <f>$P$146*L149/$L$146</f>
        <v>15171270.8974871</v>
      </c>
      <c r="Q149" s="333"/>
      <c r="R149" s="148"/>
      <c r="S149" s="113"/>
      <c r="T149" s="332">
        <f>L149</f>
        <v>562973.65000000037</v>
      </c>
      <c r="U149" s="333"/>
      <c r="V149" s="167"/>
      <c r="W149" s="171"/>
      <c r="X149" s="2"/>
    </row>
    <row r="150" spans="2:24">
      <c r="B150" s="7"/>
      <c r="C150" s="149" t="s">
        <v>204</v>
      </c>
      <c r="D150" s="33"/>
      <c r="E150" s="33"/>
      <c r="F150" s="33"/>
      <c r="G150" s="33"/>
      <c r="H150" s="33"/>
      <c r="I150" s="33"/>
      <c r="J150" s="33"/>
      <c r="K150" s="33"/>
      <c r="L150" s="396">
        <v>0</v>
      </c>
      <c r="M150" s="397"/>
      <c r="N150" s="397"/>
      <c r="O150" s="398"/>
      <c r="P150" s="399">
        <f>P146-T146</f>
        <v>98539273.283012792</v>
      </c>
      <c r="Q150" s="400"/>
      <c r="R150" s="400"/>
      <c r="S150" s="401"/>
      <c r="T150" s="368">
        <f>L150</f>
        <v>0</v>
      </c>
      <c r="U150" s="369"/>
      <c r="V150" s="369"/>
      <c r="W150" s="370"/>
      <c r="X150" s="2"/>
    </row>
    <row r="151" spans="2:24">
      <c r="B151" s="7"/>
      <c r="C151" s="124" t="s">
        <v>205</v>
      </c>
      <c r="D151" s="98"/>
      <c r="E151" s="98"/>
      <c r="F151" s="98"/>
      <c r="G151" s="98"/>
      <c r="H151" s="98"/>
      <c r="I151" s="98"/>
      <c r="J151" s="98"/>
      <c r="K151" s="98"/>
      <c r="L151" s="396">
        <v>0</v>
      </c>
      <c r="M151" s="397"/>
      <c r="N151" s="397"/>
      <c r="O151" s="398"/>
      <c r="P151" s="399">
        <f>P150-T150</f>
        <v>98539273.283012792</v>
      </c>
      <c r="Q151" s="400"/>
      <c r="R151" s="400"/>
      <c r="S151" s="401"/>
      <c r="T151" s="368">
        <f>L151</f>
        <v>0</v>
      </c>
      <c r="U151" s="369"/>
      <c r="V151" s="369"/>
      <c r="W151" s="370"/>
      <c r="X151" s="2"/>
    </row>
    <row r="152" spans="2:24">
      <c r="B152" s="7"/>
      <c r="C152" s="124" t="s">
        <v>206</v>
      </c>
      <c r="D152" s="98"/>
      <c r="E152" s="98"/>
      <c r="F152" s="98"/>
      <c r="G152" s="98"/>
      <c r="H152" s="98"/>
      <c r="I152" s="98"/>
      <c r="J152" s="98"/>
      <c r="K152" s="98"/>
      <c r="L152" s="365">
        <f>SUM(L153:M155)</f>
        <v>20024610.180496052</v>
      </c>
      <c r="M152" s="366"/>
      <c r="N152" s="366"/>
      <c r="O152" s="367"/>
      <c r="P152" s="368">
        <f>P151-T151</f>
        <v>98539273.283012792</v>
      </c>
      <c r="Q152" s="369"/>
      <c r="R152" s="369"/>
      <c r="S152" s="369"/>
      <c r="T152" s="368">
        <f>SUM(T153:T155)</f>
        <v>20024610.180496052</v>
      </c>
      <c r="U152" s="369"/>
      <c r="V152" s="369"/>
      <c r="W152" s="370"/>
      <c r="X152" s="2"/>
    </row>
    <row r="153" spans="2:24">
      <c r="B153" s="7"/>
      <c r="C153" s="73" t="s">
        <v>207</v>
      </c>
      <c r="D153" s="37"/>
      <c r="E153" s="37"/>
      <c r="F153" s="37"/>
      <c r="G153" s="37"/>
      <c r="H153" s="37"/>
      <c r="I153" s="37"/>
      <c r="J153" s="37"/>
      <c r="K153" s="37"/>
      <c r="L153" s="405">
        <f>P36</f>
        <v>0</v>
      </c>
      <c r="M153" s="406"/>
      <c r="N153" s="103"/>
      <c r="O153" s="169"/>
      <c r="P153" s="297">
        <f>$P$152*L153/$L$152</f>
        <v>0</v>
      </c>
      <c r="Q153" s="298"/>
      <c r="R153" s="99"/>
      <c r="S153" s="100"/>
      <c r="T153" s="297">
        <f t="shared" ref="T153:T160" si="19">L153</f>
        <v>0</v>
      </c>
      <c r="U153" s="298"/>
      <c r="V153" s="99"/>
      <c r="W153" s="2"/>
      <c r="X153" s="2"/>
    </row>
    <row r="154" spans="2:24">
      <c r="B154" s="7"/>
      <c r="C154" s="73" t="s">
        <v>208</v>
      </c>
      <c r="D154" s="37"/>
      <c r="E154" s="37"/>
      <c r="F154" s="37"/>
      <c r="G154" s="37"/>
      <c r="H154" s="37"/>
      <c r="I154" s="37"/>
      <c r="J154" s="37"/>
      <c r="K154" s="37"/>
      <c r="L154" s="405">
        <f>K36+L36+M36+O36</f>
        <v>20024610.180496052</v>
      </c>
      <c r="M154" s="406"/>
      <c r="N154" s="103"/>
      <c r="O154" s="169"/>
      <c r="P154" s="297">
        <f>$P$152*L154/$L$152</f>
        <v>98539273.283012792</v>
      </c>
      <c r="Q154" s="298"/>
      <c r="R154" s="99"/>
      <c r="S154" s="100"/>
      <c r="T154" s="297">
        <f t="shared" si="19"/>
        <v>20024610.180496052</v>
      </c>
      <c r="U154" s="298"/>
      <c r="V154" s="99"/>
      <c r="W154" s="2"/>
      <c r="X154" s="2"/>
    </row>
    <row r="155" spans="2:24">
      <c r="B155" s="7"/>
      <c r="C155" s="115" t="s">
        <v>209</v>
      </c>
      <c r="D155" s="116"/>
      <c r="E155" s="116"/>
      <c r="F155" s="116"/>
      <c r="G155" s="116"/>
      <c r="H155" s="116"/>
      <c r="I155" s="116"/>
      <c r="J155" s="116"/>
      <c r="K155" s="116"/>
      <c r="L155" s="394">
        <f>N36</f>
        <v>0</v>
      </c>
      <c r="M155" s="395"/>
      <c r="N155" s="167"/>
      <c r="O155" s="170"/>
      <c r="P155" s="332">
        <f>$P$152*L155/$L$152</f>
        <v>0</v>
      </c>
      <c r="Q155" s="333"/>
      <c r="R155" s="99"/>
      <c r="S155" s="100"/>
      <c r="T155" s="332">
        <f t="shared" si="19"/>
        <v>0</v>
      </c>
      <c r="U155" s="333"/>
      <c r="V155" s="167"/>
      <c r="W155" s="171"/>
      <c r="X155" s="2"/>
    </row>
    <row r="156" spans="2:24">
      <c r="B156" s="7"/>
      <c r="C156" s="149" t="s">
        <v>210</v>
      </c>
      <c r="D156" s="33"/>
      <c r="E156" s="33"/>
      <c r="F156" s="33"/>
      <c r="G156" s="33"/>
      <c r="H156" s="33"/>
      <c r="I156" s="33"/>
      <c r="J156" s="33"/>
      <c r="K156" s="33"/>
      <c r="L156" s="396">
        <f>Q36+R36+S36</f>
        <v>5508855.8356164377</v>
      </c>
      <c r="M156" s="397"/>
      <c r="N156" s="397"/>
      <c r="O156" s="398"/>
      <c r="P156" s="399">
        <f>P152-T152</f>
        <v>78514663.102516741</v>
      </c>
      <c r="Q156" s="400"/>
      <c r="R156" s="400"/>
      <c r="S156" s="401"/>
      <c r="T156" s="399">
        <f t="shared" si="19"/>
        <v>5508855.8356164377</v>
      </c>
      <c r="U156" s="400"/>
      <c r="V156" s="400"/>
      <c r="W156" s="404"/>
      <c r="X156" s="2"/>
    </row>
    <row r="157" spans="2:24">
      <c r="B157" s="7"/>
      <c r="C157" s="149" t="s">
        <v>211</v>
      </c>
      <c r="D157" s="33"/>
      <c r="E157" s="33"/>
      <c r="F157" s="33"/>
      <c r="G157" s="33"/>
      <c r="H157" s="33"/>
      <c r="I157" s="33"/>
      <c r="J157" s="33"/>
      <c r="K157" s="33"/>
      <c r="L157" s="396">
        <f>T36+W36+V36+U36</f>
        <v>1809706.0273972598</v>
      </c>
      <c r="M157" s="397"/>
      <c r="N157" s="397"/>
      <c r="O157" s="398"/>
      <c r="P157" s="399">
        <f>P156-T156</f>
        <v>73005807.266900301</v>
      </c>
      <c r="Q157" s="400"/>
      <c r="R157" s="400"/>
      <c r="S157" s="401"/>
      <c r="T157" s="399">
        <f t="shared" si="19"/>
        <v>1809706.0273972598</v>
      </c>
      <c r="U157" s="400"/>
      <c r="V157" s="400"/>
      <c r="W157" s="404"/>
      <c r="X157" s="2"/>
    </row>
    <row r="158" spans="2:24">
      <c r="B158" s="7"/>
      <c r="C158" s="149" t="s">
        <v>212</v>
      </c>
      <c r="D158" s="33"/>
      <c r="E158" s="33"/>
      <c r="F158" s="33"/>
      <c r="G158" s="33"/>
      <c r="H158" s="33"/>
      <c r="I158" s="33"/>
      <c r="J158" s="33"/>
      <c r="K158" s="33"/>
      <c r="L158" s="407">
        <v>0</v>
      </c>
      <c r="M158" s="408"/>
      <c r="N158" s="408"/>
      <c r="O158" s="409"/>
      <c r="P158" s="399">
        <f>P157-T157</f>
        <v>71196101.239503041</v>
      </c>
      <c r="Q158" s="400"/>
      <c r="R158" s="400"/>
      <c r="S158" s="401"/>
      <c r="T158" s="399">
        <f t="shared" si="19"/>
        <v>0</v>
      </c>
      <c r="U158" s="400"/>
      <c r="V158" s="400"/>
      <c r="W158" s="404"/>
      <c r="X158" s="2"/>
    </row>
    <row r="159" spans="2:24">
      <c r="B159" s="7"/>
      <c r="C159" s="149" t="s">
        <v>213</v>
      </c>
      <c r="D159" s="33"/>
      <c r="E159" s="33"/>
      <c r="F159" s="33"/>
      <c r="G159" s="33"/>
      <c r="H159" s="33"/>
      <c r="I159" s="33"/>
      <c r="J159" s="33"/>
      <c r="K159" s="33"/>
      <c r="L159" s="407">
        <v>0</v>
      </c>
      <c r="M159" s="408"/>
      <c r="N159" s="408"/>
      <c r="O159" s="409"/>
      <c r="P159" s="399">
        <f>P158-T158</f>
        <v>71196101.239503041</v>
      </c>
      <c r="Q159" s="400"/>
      <c r="R159" s="400"/>
      <c r="S159" s="401"/>
      <c r="T159" s="399">
        <f t="shared" si="19"/>
        <v>0</v>
      </c>
      <c r="U159" s="400"/>
      <c r="V159" s="400"/>
      <c r="W159" s="404"/>
      <c r="X159" s="2"/>
    </row>
    <row r="160" spans="2:24">
      <c r="B160" s="7"/>
      <c r="C160" s="149" t="s">
        <v>214</v>
      </c>
      <c r="D160" s="33"/>
      <c r="E160" s="33"/>
      <c r="F160" s="33"/>
      <c r="G160" s="33"/>
      <c r="H160" s="33"/>
      <c r="I160" s="33"/>
      <c r="J160" s="33"/>
      <c r="K160" s="33"/>
      <c r="L160" s="407">
        <v>0</v>
      </c>
      <c r="M160" s="408"/>
      <c r="N160" s="408"/>
      <c r="O160" s="409"/>
      <c r="P160" s="399">
        <f>P159-T159</f>
        <v>71196101.239503041</v>
      </c>
      <c r="Q160" s="400"/>
      <c r="R160" s="400"/>
      <c r="S160" s="401"/>
      <c r="T160" s="399">
        <f t="shared" si="19"/>
        <v>0</v>
      </c>
      <c r="U160" s="400"/>
      <c r="V160" s="400"/>
      <c r="W160" s="404"/>
      <c r="X160" s="2"/>
    </row>
    <row r="161" spans="2:24">
      <c r="B161" s="7"/>
      <c r="C161" s="149" t="s">
        <v>215</v>
      </c>
      <c r="D161" s="33"/>
      <c r="E161" s="33"/>
      <c r="F161" s="33"/>
      <c r="G161" s="33"/>
      <c r="H161" s="33"/>
      <c r="I161" s="33"/>
      <c r="J161" s="33"/>
      <c r="K161" s="33"/>
      <c r="L161" s="407">
        <f>Q204</f>
        <v>0</v>
      </c>
      <c r="M161" s="408"/>
      <c r="N161" s="408"/>
      <c r="O161" s="409"/>
      <c r="P161" s="399">
        <f>P157-T157</f>
        <v>71196101.239503041</v>
      </c>
      <c r="Q161" s="400"/>
      <c r="R161" s="400"/>
      <c r="S161" s="401"/>
      <c r="T161" s="399">
        <f>L161</f>
        <v>0</v>
      </c>
      <c r="U161" s="400"/>
      <c r="V161" s="400"/>
      <c r="W161" s="404"/>
      <c r="X161" s="2"/>
    </row>
    <row r="162" spans="2:24">
      <c r="B162" s="7"/>
      <c r="C162" s="124" t="s">
        <v>216</v>
      </c>
      <c r="D162" s="98"/>
      <c r="E162" s="98"/>
      <c r="F162" s="98"/>
      <c r="G162" s="98"/>
      <c r="H162" s="98"/>
      <c r="I162" s="98"/>
      <c r="J162" s="98"/>
      <c r="K162" s="98"/>
      <c r="L162" s="410">
        <f>SUM(L163,L167:M168)</f>
        <v>7361886.138500018</v>
      </c>
      <c r="M162" s="411"/>
      <c r="N162" s="411"/>
      <c r="O162" s="412"/>
      <c r="P162" s="368">
        <f>P161-T161</f>
        <v>71196101.239503041</v>
      </c>
      <c r="Q162" s="369"/>
      <c r="R162" s="369"/>
      <c r="S162" s="413"/>
      <c r="T162" s="388">
        <f>SUM(T163,Q167:S168)</f>
        <v>7361886.138500018</v>
      </c>
      <c r="U162" s="389"/>
      <c r="V162" s="389"/>
      <c r="W162" s="414"/>
      <c r="X162" s="2"/>
    </row>
    <row r="163" spans="2:24">
      <c r="B163" s="7"/>
      <c r="C163" s="73" t="s">
        <v>217</v>
      </c>
      <c r="D163" s="37"/>
      <c r="E163" s="37"/>
      <c r="F163" s="37"/>
      <c r="G163" s="37"/>
      <c r="H163" s="37"/>
      <c r="I163" s="37"/>
      <c r="J163" s="37"/>
      <c r="K163" s="37"/>
      <c r="L163" s="320">
        <f>SUM(L164:M166)</f>
        <v>7361886.138500018</v>
      </c>
      <c r="M163" s="321"/>
      <c r="N163" s="321"/>
      <c r="O163" s="172"/>
      <c r="P163" s="297">
        <f>L163/$L$162*P162</f>
        <v>71196101.239503041</v>
      </c>
      <c r="Q163" s="298"/>
      <c r="R163" s="99"/>
      <c r="S163" s="100"/>
      <c r="T163" s="388">
        <f t="shared" ref="T163:T170" si="20">L163</f>
        <v>7361886.138500018</v>
      </c>
      <c r="U163" s="389"/>
      <c r="V163" s="99"/>
      <c r="W163" s="2"/>
      <c r="X163" s="2"/>
    </row>
    <row r="164" spans="2:24">
      <c r="B164" s="7"/>
      <c r="C164" s="119" t="s">
        <v>29</v>
      </c>
      <c r="D164" s="37"/>
      <c r="E164" s="37"/>
      <c r="F164" s="37"/>
      <c r="G164" s="37"/>
      <c r="H164" s="37"/>
      <c r="I164" s="37"/>
      <c r="J164" s="37"/>
      <c r="K164" s="37"/>
      <c r="L164" s="405">
        <f>P39</f>
        <v>0</v>
      </c>
      <c r="M164" s="406"/>
      <c r="N164" s="106"/>
      <c r="O164" s="172"/>
      <c r="P164" s="297">
        <f>L164/$L$162*P162</f>
        <v>0</v>
      </c>
      <c r="Q164" s="298"/>
      <c r="R164" s="99"/>
      <c r="S164" s="100"/>
      <c r="T164" s="388">
        <f t="shared" si="20"/>
        <v>0</v>
      </c>
      <c r="U164" s="389"/>
      <c r="V164" s="99"/>
      <c r="W164" s="2"/>
      <c r="X164" s="2"/>
    </row>
    <row r="165" spans="2:24">
      <c r="B165" s="7"/>
      <c r="C165" s="119" t="s">
        <v>218</v>
      </c>
      <c r="D165" s="37"/>
      <c r="E165" s="37"/>
      <c r="F165" s="37"/>
      <c r="G165" s="37"/>
      <c r="H165" s="37"/>
      <c r="I165" s="37"/>
      <c r="J165" s="37"/>
      <c r="K165" s="37"/>
      <c r="L165" s="405">
        <f>T102-L164</f>
        <v>7361886.138500018</v>
      </c>
      <c r="M165" s="406"/>
      <c r="N165" s="106"/>
      <c r="O165" s="172"/>
      <c r="P165" s="297">
        <f>L165/$L$162*P162</f>
        <v>71196101.239503041</v>
      </c>
      <c r="Q165" s="298"/>
      <c r="R165" s="99"/>
      <c r="S165" s="100"/>
      <c r="T165" s="297">
        <f t="shared" si="20"/>
        <v>7361886.138500018</v>
      </c>
      <c r="U165" s="298"/>
      <c r="V165" s="99"/>
      <c r="W165" s="2"/>
      <c r="X165" s="2"/>
    </row>
    <row r="166" spans="2:24">
      <c r="B166" s="7"/>
      <c r="C166" s="119" t="s">
        <v>27</v>
      </c>
      <c r="D166" s="37"/>
      <c r="E166" s="37"/>
      <c r="F166" s="37"/>
      <c r="G166" s="37"/>
      <c r="H166" s="37"/>
      <c r="I166" s="37"/>
      <c r="J166" s="37"/>
      <c r="K166" s="37"/>
      <c r="L166" s="405">
        <f>N39</f>
        <v>0</v>
      </c>
      <c r="M166" s="406"/>
      <c r="N166" s="106"/>
      <c r="O166" s="172"/>
      <c r="P166" s="297">
        <f>L166/$L$162*P162</f>
        <v>0</v>
      </c>
      <c r="Q166" s="298"/>
      <c r="R166" s="99"/>
      <c r="S166" s="100"/>
      <c r="T166" s="297">
        <f t="shared" si="20"/>
        <v>0</v>
      </c>
      <c r="U166" s="298"/>
      <c r="V166" s="99"/>
      <c r="W166" s="2"/>
      <c r="X166" s="2"/>
    </row>
    <row r="167" spans="2:24">
      <c r="B167" s="7"/>
      <c r="C167" s="73" t="s">
        <v>219</v>
      </c>
      <c r="D167" s="37"/>
      <c r="E167" s="37"/>
      <c r="F167" s="37"/>
      <c r="G167" s="37"/>
      <c r="H167" s="37"/>
      <c r="I167" s="37"/>
      <c r="J167" s="37"/>
      <c r="K167" s="37"/>
      <c r="L167" s="405">
        <v>0</v>
      </c>
      <c r="M167" s="406"/>
      <c r="N167" s="106"/>
      <c r="O167" s="172"/>
      <c r="P167" s="297">
        <f>L167/$L$162*P162</f>
        <v>0</v>
      </c>
      <c r="Q167" s="298"/>
      <c r="R167" s="99"/>
      <c r="S167" s="100"/>
      <c r="T167" s="297">
        <f t="shared" si="20"/>
        <v>0</v>
      </c>
      <c r="U167" s="298"/>
      <c r="V167" s="99"/>
      <c r="W167" s="2"/>
      <c r="X167" s="2"/>
    </row>
    <row r="168" spans="2:24">
      <c r="B168" s="7"/>
      <c r="C168" s="115" t="s">
        <v>220</v>
      </c>
      <c r="D168" s="116"/>
      <c r="E168" s="116"/>
      <c r="F168" s="116"/>
      <c r="G168" s="116"/>
      <c r="H168" s="116"/>
      <c r="I168" s="116"/>
      <c r="J168" s="116"/>
      <c r="K168" s="116"/>
      <c r="L168" s="394">
        <v>0</v>
      </c>
      <c r="M168" s="395"/>
      <c r="N168" s="106"/>
      <c r="O168" s="173"/>
      <c r="P168" s="332">
        <f>L168/$L$162*P162</f>
        <v>0</v>
      </c>
      <c r="Q168" s="333"/>
      <c r="R168" s="99"/>
      <c r="S168" s="100"/>
      <c r="T168" s="297">
        <f t="shared" si="20"/>
        <v>0</v>
      </c>
      <c r="U168" s="298"/>
      <c r="V168" s="99"/>
      <c r="W168" s="2"/>
      <c r="X168" s="2"/>
    </row>
    <row r="169" spans="2:24">
      <c r="B169" s="7"/>
      <c r="C169" s="149" t="s">
        <v>221</v>
      </c>
      <c r="D169" s="33"/>
      <c r="E169" s="33"/>
      <c r="F169" s="33"/>
      <c r="G169" s="33"/>
      <c r="H169" s="33"/>
      <c r="I169" s="33"/>
      <c r="J169" s="33"/>
      <c r="K169" s="33"/>
      <c r="L169" s="407">
        <f>Q195</f>
        <v>33219778</v>
      </c>
      <c r="M169" s="408"/>
      <c r="N169" s="408"/>
      <c r="O169" s="409"/>
      <c r="P169" s="360">
        <f>P162-T162</f>
        <v>63834215.101003021</v>
      </c>
      <c r="Q169" s="361"/>
      <c r="R169" s="361"/>
      <c r="S169" s="362"/>
      <c r="T169" s="399">
        <f t="shared" si="20"/>
        <v>33219778</v>
      </c>
      <c r="U169" s="400"/>
      <c r="V169" s="400"/>
      <c r="W169" s="404"/>
      <c r="X169" s="2"/>
    </row>
    <row r="170" spans="2:24">
      <c r="B170" s="7"/>
      <c r="C170" s="149" t="s">
        <v>222</v>
      </c>
      <c r="D170" s="33"/>
      <c r="E170" s="33"/>
      <c r="F170" s="33"/>
      <c r="G170" s="33"/>
      <c r="H170" s="33"/>
      <c r="I170" s="33"/>
      <c r="J170" s="33"/>
      <c r="K170" s="33"/>
      <c r="L170" s="407">
        <v>0</v>
      </c>
      <c r="M170" s="408"/>
      <c r="N170" s="408"/>
      <c r="O170" s="409"/>
      <c r="P170" s="360">
        <f>P169-T169</f>
        <v>30614437.101003021</v>
      </c>
      <c r="Q170" s="361"/>
      <c r="R170" s="361"/>
      <c r="S170" s="362"/>
      <c r="T170" s="399">
        <f t="shared" si="20"/>
        <v>0</v>
      </c>
      <c r="U170" s="400"/>
      <c r="V170" s="400"/>
      <c r="W170" s="404"/>
      <c r="X170" s="2"/>
    </row>
    <row r="171" spans="2:24">
      <c r="B171" s="7"/>
      <c r="C171" s="124" t="s">
        <v>223</v>
      </c>
      <c r="D171" s="98"/>
      <c r="E171" s="98"/>
      <c r="F171" s="98"/>
      <c r="G171" s="98"/>
      <c r="H171" s="98"/>
      <c r="I171" s="98"/>
      <c r="J171" s="98"/>
      <c r="K171" s="98"/>
      <c r="L171" s="410">
        <f>SUM(L172:M173)</f>
        <v>0</v>
      </c>
      <c r="M171" s="411"/>
      <c r="N171" s="411"/>
      <c r="O171" s="412"/>
      <c r="P171" s="415">
        <f>P170-T170</f>
        <v>30614437.101003021</v>
      </c>
      <c r="Q171" s="416"/>
      <c r="R171" s="416"/>
      <c r="S171" s="417"/>
      <c r="T171" s="415">
        <f>SUM(Q172:S173)</f>
        <v>0</v>
      </c>
      <c r="U171" s="416"/>
      <c r="V171" s="416"/>
      <c r="W171" s="418"/>
      <c r="X171" s="2"/>
    </row>
    <row r="172" spans="2:24">
      <c r="B172" s="7"/>
      <c r="C172" s="73" t="s">
        <v>219</v>
      </c>
      <c r="D172" s="37"/>
      <c r="E172" s="37"/>
      <c r="F172" s="37"/>
      <c r="G172" s="37"/>
      <c r="H172" s="37"/>
      <c r="I172" s="37"/>
      <c r="J172" s="37"/>
      <c r="K172" s="37"/>
      <c r="L172" s="405">
        <v>0</v>
      </c>
      <c r="M172" s="406"/>
      <c r="N172" s="106"/>
      <c r="O172" s="139"/>
      <c r="P172" s="320">
        <f>IFERROR(L172/$L$171*$P$171,0)</f>
        <v>0</v>
      </c>
      <c r="Q172" s="321"/>
      <c r="R172" s="139"/>
      <c r="S172" s="174"/>
      <c r="T172" s="297">
        <f>L172</f>
        <v>0</v>
      </c>
      <c r="U172" s="298"/>
      <c r="V172" s="99"/>
      <c r="W172" s="2"/>
      <c r="X172" s="2"/>
    </row>
    <row r="173" spans="2:24">
      <c r="B173" s="7"/>
      <c r="C173" s="115" t="s">
        <v>220</v>
      </c>
      <c r="D173" s="116"/>
      <c r="E173" s="116"/>
      <c r="F173" s="116"/>
      <c r="G173" s="116"/>
      <c r="H173" s="116"/>
      <c r="I173" s="116"/>
      <c r="J173" s="116"/>
      <c r="K173" s="116"/>
      <c r="L173" s="394">
        <v>0</v>
      </c>
      <c r="M173" s="395"/>
      <c r="N173" s="106"/>
      <c r="O173" s="139"/>
      <c r="P173" s="299">
        <f>IFERROR(L173/$L$171*$P$171,0)</f>
        <v>0</v>
      </c>
      <c r="Q173" s="300"/>
      <c r="R173" s="117"/>
      <c r="S173" s="175"/>
      <c r="T173" s="297">
        <f>L173</f>
        <v>0</v>
      </c>
      <c r="U173" s="298"/>
      <c r="V173" s="99"/>
      <c r="W173" s="2"/>
      <c r="X173" s="2"/>
    </row>
    <row r="174" spans="2:24">
      <c r="B174" s="7"/>
      <c r="C174" s="149" t="s">
        <v>224</v>
      </c>
      <c r="D174" s="116"/>
      <c r="E174" s="116"/>
      <c r="F174" s="116"/>
      <c r="G174" s="116"/>
      <c r="H174" s="116"/>
      <c r="I174" s="116"/>
      <c r="J174" s="116"/>
      <c r="K174" s="116"/>
      <c r="L174" s="407">
        <v>0</v>
      </c>
      <c r="M174" s="408"/>
      <c r="N174" s="408"/>
      <c r="O174" s="409"/>
      <c r="P174" s="360">
        <f>P171-T171</f>
        <v>30614437.101003021</v>
      </c>
      <c r="Q174" s="361"/>
      <c r="R174" s="361"/>
      <c r="S174" s="362"/>
      <c r="T174" s="399">
        <f>L174</f>
        <v>0</v>
      </c>
      <c r="U174" s="400"/>
      <c r="V174" s="400"/>
      <c r="W174" s="404"/>
      <c r="X174" s="2"/>
    </row>
    <row r="175" spans="2:24">
      <c r="B175" s="7"/>
      <c r="C175" s="149" t="s">
        <v>225</v>
      </c>
      <c r="D175" s="33"/>
      <c r="E175" s="33"/>
      <c r="F175" s="33"/>
      <c r="G175" s="33"/>
      <c r="H175" s="33"/>
      <c r="I175" s="33"/>
      <c r="J175" s="33"/>
      <c r="K175" s="33"/>
      <c r="L175" s="407">
        <v>0</v>
      </c>
      <c r="M175" s="408"/>
      <c r="N175" s="408"/>
      <c r="O175" s="409"/>
      <c r="P175" s="360">
        <f>P174-T174</f>
        <v>30614437.101003021</v>
      </c>
      <c r="Q175" s="361"/>
      <c r="R175" s="361"/>
      <c r="S175" s="362"/>
      <c r="T175" s="399">
        <f>L175</f>
        <v>0</v>
      </c>
      <c r="U175" s="400"/>
      <c r="V175" s="400"/>
      <c r="W175" s="404"/>
      <c r="X175" s="2"/>
    </row>
    <row r="176" spans="2:24">
      <c r="B176" s="7"/>
      <c r="C176" s="124" t="s">
        <v>226</v>
      </c>
      <c r="D176" s="98"/>
      <c r="E176" s="98"/>
      <c r="F176" s="98"/>
      <c r="G176" s="98"/>
      <c r="H176" s="98"/>
      <c r="I176" s="98"/>
      <c r="J176" s="98"/>
      <c r="K176" s="98"/>
      <c r="L176" s="410">
        <f>SUM(L177:O177)</f>
        <v>0</v>
      </c>
      <c r="M176" s="411"/>
      <c r="N176" s="411"/>
      <c r="O176" s="412"/>
      <c r="P176" s="415">
        <f>P175-T175</f>
        <v>30614437.101003021</v>
      </c>
      <c r="Q176" s="416"/>
      <c r="R176" s="416"/>
      <c r="S176" s="417"/>
      <c r="T176" s="415">
        <f>SUM(T177)</f>
        <v>0</v>
      </c>
      <c r="U176" s="416"/>
      <c r="V176" s="416"/>
      <c r="W176" s="418"/>
      <c r="X176" s="2"/>
    </row>
    <row r="177" spans="2:26">
      <c r="B177" s="7"/>
      <c r="C177" s="115" t="s">
        <v>220</v>
      </c>
      <c r="D177" s="116"/>
      <c r="E177" s="116"/>
      <c r="F177" s="116"/>
      <c r="G177" s="116"/>
      <c r="H177" s="116"/>
      <c r="I177" s="116"/>
      <c r="J177" s="116"/>
      <c r="K177" s="116"/>
      <c r="L177" s="394">
        <v>0</v>
      </c>
      <c r="M177" s="395"/>
      <c r="N177" s="106"/>
      <c r="O177" s="139"/>
      <c r="P177" s="299">
        <f>P176</f>
        <v>30614437.101003021</v>
      </c>
      <c r="Q177" s="300"/>
      <c r="R177" s="117"/>
      <c r="S177" s="175"/>
      <c r="T177" s="297">
        <f>L177</f>
        <v>0</v>
      </c>
      <c r="U177" s="298"/>
      <c r="V177" s="99"/>
      <c r="W177" s="2"/>
      <c r="X177" s="2"/>
    </row>
    <row r="178" spans="2:26">
      <c r="B178" s="7"/>
      <c r="C178" s="149" t="s">
        <v>227</v>
      </c>
      <c r="D178" s="33"/>
      <c r="E178" s="33"/>
      <c r="F178" s="33"/>
      <c r="G178" s="33"/>
      <c r="H178" s="33"/>
      <c r="I178" s="33"/>
      <c r="J178" s="33"/>
      <c r="K178" s="33"/>
      <c r="L178" s="407">
        <v>0</v>
      </c>
      <c r="M178" s="408"/>
      <c r="N178" s="408"/>
      <c r="O178" s="409"/>
      <c r="P178" s="360">
        <f>P176-T176</f>
        <v>30614437.101003021</v>
      </c>
      <c r="Q178" s="361"/>
      <c r="R178" s="361"/>
      <c r="S178" s="362"/>
      <c r="T178" s="399">
        <f>L178</f>
        <v>0</v>
      </c>
      <c r="U178" s="400"/>
      <c r="V178" s="400"/>
      <c r="W178" s="404"/>
      <c r="X178" s="2"/>
    </row>
    <row r="179" spans="2:26">
      <c r="B179" s="7"/>
      <c r="C179" s="149" t="s">
        <v>228</v>
      </c>
      <c r="D179" s="33"/>
      <c r="E179" s="33"/>
      <c r="F179" s="33"/>
      <c r="G179" s="33"/>
      <c r="H179" s="33"/>
      <c r="I179" s="33"/>
      <c r="J179" s="33"/>
      <c r="K179" s="33"/>
      <c r="L179" s="407">
        <v>0</v>
      </c>
      <c r="M179" s="408"/>
      <c r="N179" s="408"/>
      <c r="O179" s="409"/>
      <c r="P179" s="360">
        <f>P178-T178</f>
        <v>30614437.101003021</v>
      </c>
      <c r="Q179" s="361"/>
      <c r="R179" s="361"/>
      <c r="S179" s="362"/>
      <c r="T179" s="399">
        <f>L179</f>
        <v>0</v>
      </c>
      <c r="U179" s="400"/>
      <c r="V179" s="400"/>
      <c r="W179" s="404"/>
      <c r="X179" s="2"/>
    </row>
    <row r="180" spans="2:26">
      <c r="B180" s="7"/>
      <c r="C180" s="149" t="s">
        <v>229</v>
      </c>
      <c r="D180" s="33"/>
      <c r="E180" s="33"/>
      <c r="F180" s="33"/>
      <c r="G180" s="33"/>
      <c r="H180" s="33"/>
      <c r="I180" s="33"/>
      <c r="J180" s="33"/>
      <c r="K180" s="33"/>
      <c r="L180" s="407">
        <v>14020.883698513731</v>
      </c>
      <c r="M180" s="408"/>
      <c r="N180" s="408"/>
      <c r="O180" s="409"/>
      <c r="P180" s="360">
        <f>P179-T179</f>
        <v>30614437.101003021</v>
      </c>
      <c r="Q180" s="361"/>
      <c r="R180" s="361"/>
      <c r="S180" s="362"/>
      <c r="T180" s="399">
        <f>L180</f>
        <v>14020.883698513731</v>
      </c>
      <c r="U180" s="400"/>
      <c r="V180" s="400"/>
      <c r="W180" s="404"/>
      <c r="X180" s="2"/>
    </row>
    <row r="181" spans="2:26">
      <c r="B181" s="7"/>
      <c r="C181" s="124" t="s">
        <v>230</v>
      </c>
      <c r="D181" s="98"/>
      <c r="E181" s="98"/>
      <c r="F181" s="98"/>
      <c r="G181" s="98"/>
      <c r="H181" s="98"/>
      <c r="I181" s="98"/>
      <c r="J181" s="98"/>
      <c r="K181" s="98"/>
      <c r="L181" s="410">
        <f>SUM(L182:M184)</f>
        <v>6733711.2302636541</v>
      </c>
      <c r="M181" s="411"/>
      <c r="N181" s="411"/>
      <c r="O181" s="412"/>
      <c r="P181" s="415">
        <f>P180-T180</f>
        <v>30600416.217304505</v>
      </c>
      <c r="Q181" s="416"/>
      <c r="R181" s="416"/>
      <c r="S181" s="417"/>
      <c r="T181" s="415">
        <f>SUM(T182:T184)</f>
        <v>6733711.2302636541</v>
      </c>
      <c r="U181" s="416"/>
      <c r="V181" s="416"/>
      <c r="W181" s="418"/>
      <c r="X181" s="2"/>
    </row>
    <row r="182" spans="2:26">
      <c r="B182" s="7"/>
      <c r="C182" s="73" t="s">
        <v>231</v>
      </c>
      <c r="D182" s="37"/>
      <c r="E182" s="37"/>
      <c r="F182" s="37"/>
      <c r="G182" s="37"/>
      <c r="H182" s="37"/>
      <c r="I182" s="37"/>
      <c r="J182" s="37"/>
      <c r="K182" s="37"/>
      <c r="L182" s="405">
        <f>Q215</f>
        <v>6733711.2302636541</v>
      </c>
      <c r="M182" s="406"/>
      <c r="N182" s="106"/>
      <c r="O182" s="139"/>
      <c r="P182" s="320">
        <f>L182/$L$181*P181</f>
        <v>30600416.217304505</v>
      </c>
      <c r="Q182" s="321"/>
      <c r="R182" s="139"/>
      <c r="S182" s="176"/>
      <c r="T182" s="297">
        <f>L182</f>
        <v>6733711.2302636541</v>
      </c>
      <c r="U182" s="298"/>
      <c r="V182" s="99"/>
      <c r="W182" s="2"/>
      <c r="X182" s="2"/>
    </row>
    <row r="183" spans="2:26">
      <c r="B183" s="7"/>
      <c r="C183" s="73" t="s">
        <v>232</v>
      </c>
      <c r="D183" s="37"/>
      <c r="E183" s="37"/>
      <c r="F183" s="37"/>
      <c r="G183" s="37"/>
      <c r="H183" s="37"/>
      <c r="I183" s="37"/>
      <c r="J183" s="37"/>
      <c r="K183" s="37"/>
      <c r="L183" s="405">
        <v>0</v>
      </c>
      <c r="M183" s="406"/>
      <c r="N183" s="106"/>
      <c r="O183" s="139"/>
      <c r="P183" s="320">
        <f>L183/$L$181*P182</f>
        <v>0</v>
      </c>
      <c r="Q183" s="321"/>
      <c r="R183" s="139"/>
      <c r="S183" s="176"/>
      <c r="T183" s="297">
        <f>L183</f>
        <v>0</v>
      </c>
      <c r="U183" s="298"/>
      <c r="V183" s="99"/>
      <c r="W183" s="2"/>
      <c r="X183" s="2"/>
    </row>
    <row r="184" spans="2:26">
      <c r="B184" s="7"/>
      <c r="C184" s="115" t="s">
        <v>233</v>
      </c>
      <c r="D184" s="116"/>
      <c r="E184" s="116"/>
      <c r="F184" s="116"/>
      <c r="G184" s="116"/>
      <c r="H184" s="116"/>
      <c r="I184" s="116"/>
      <c r="J184" s="116"/>
      <c r="K184" s="116"/>
      <c r="L184" s="394">
        <v>0</v>
      </c>
      <c r="M184" s="395"/>
      <c r="N184" s="106"/>
      <c r="O184" s="139"/>
      <c r="P184" s="299">
        <f>L184/$L$181*P181</f>
        <v>0</v>
      </c>
      <c r="Q184" s="300"/>
      <c r="R184" s="139"/>
      <c r="S184" s="176"/>
      <c r="T184" s="297">
        <f>L184</f>
        <v>0</v>
      </c>
      <c r="U184" s="298"/>
      <c r="V184" s="99"/>
      <c r="W184" s="2"/>
      <c r="X184" s="2"/>
    </row>
    <row r="185" spans="2:26">
      <c r="B185" s="7"/>
      <c r="C185" s="149" t="s">
        <v>234</v>
      </c>
      <c r="D185" s="33"/>
      <c r="E185" s="33"/>
      <c r="F185" s="33"/>
      <c r="G185" s="33"/>
      <c r="H185" s="33"/>
      <c r="I185" s="33"/>
      <c r="J185" s="33"/>
      <c r="K185" s="33"/>
      <c r="L185" s="407">
        <v>23866705</v>
      </c>
      <c r="M185" s="408"/>
      <c r="N185" s="408"/>
      <c r="O185" s="409"/>
      <c r="P185" s="407">
        <f>P181-T181</f>
        <v>23866704.987040851</v>
      </c>
      <c r="Q185" s="408"/>
      <c r="R185" s="408"/>
      <c r="S185" s="409"/>
      <c r="T185" s="399">
        <f>L185</f>
        <v>23866705</v>
      </c>
      <c r="U185" s="400"/>
      <c r="V185" s="400"/>
      <c r="W185" s="404"/>
      <c r="X185" s="2"/>
    </row>
    <row r="186" spans="2:26" ht="15" thickBot="1">
      <c r="B186" s="7"/>
      <c r="C186" s="177" t="s">
        <v>235</v>
      </c>
      <c r="D186" s="84"/>
      <c r="E186" s="84"/>
      <c r="F186" s="84"/>
      <c r="G186" s="84"/>
      <c r="H186" s="84"/>
      <c r="I186" s="84"/>
      <c r="J186" s="84"/>
      <c r="K186" s="84"/>
      <c r="L186" s="428">
        <v>0</v>
      </c>
      <c r="M186" s="429"/>
      <c r="N186" s="429"/>
      <c r="O186" s="430"/>
      <c r="P186" s="431">
        <f>P185-T185</f>
        <v>-1.2959148734807968E-2</v>
      </c>
      <c r="Q186" s="432"/>
      <c r="R186" s="432"/>
      <c r="S186" s="433"/>
      <c r="T186" s="338">
        <f>L186</f>
        <v>0</v>
      </c>
      <c r="U186" s="339"/>
      <c r="V186" s="339"/>
      <c r="W186" s="340"/>
      <c r="X186" s="2"/>
    </row>
    <row r="187" spans="2:26" ht="15" thickBot="1">
      <c r="B187" s="7"/>
      <c r="C187" s="178" t="s">
        <v>236</v>
      </c>
      <c r="D187" s="179"/>
      <c r="E187" s="180"/>
      <c r="F187" s="179"/>
      <c r="G187" s="179"/>
      <c r="H187" s="179"/>
      <c r="I187" s="179"/>
      <c r="J187" s="179"/>
      <c r="K187" s="180"/>
      <c r="L187" s="419">
        <f>SUM(L139,L140,L143,L146,L150,L151,L152,L156:O162,L169:O171,L174:O176,L178:O181,L185:O186)</f>
        <v>106670936.99597193</v>
      </c>
      <c r="M187" s="420"/>
      <c r="N187" s="420"/>
      <c r="O187" s="421"/>
      <c r="P187" s="419">
        <f>P139</f>
        <v>106670936.98301278</v>
      </c>
      <c r="Q187" s="420"/>
      <c r="R187" s="420"/>
      <c r="S187" s="421"/>
      <c r="T187" s="419">
        <f>P187</f>
        <v>106670936.98301278</v>
      </c>
      <c r="U187" s="420"/>
      <c r="V187" s="420"/>
      <c r="W187" s="422"/>
      <c r="X187" s="2"/>
      <c r="Z187" s="26"/>
    </row>
    <row r="188" spans="2:26" ht="15" thickBot="1">
      <c r="B188" s="7"/>
      <c r="C188" s="136"/>
      <c r="D188" s="9"/>
      <c r="E188" s="9"/>
      <c r="F188" s="9"/>
      <c r="G188" s="9"/>
      <c r="H188" s="9"/>
      <c r="I188" s="9"/>
      <c r="J188" s="9"/>
      <c r="K188" s="9"/>
      <c r="L188" s="9"/>
      <c r="M188" s="9"/>
      <c r="N188" s="9"/>
      <c r="O188" s="9"/>
      <c r="P188" s="9"/>
      <c r="Q188" s="9"/>
      <c r="R188" s="9"/>
      <c r="S188" s="9"/>
      <c r="T188" s="9"/>
      <c r="U188" s="9"/>
      <c r="V188" s="9"/>
      <c r="W188" s="2"/>
      <c r="X188" s="2"/>
    </row>
    <row r="189" spans="2:26">
      <c r="B189" s="7"/>
      <c r="C189" s="423" t="s">
        <v>237</v>
      </c>
      <c r="D189" s="424"/>
      <c r="E189" s="424"/>
      <c r="F189" s="424"/>
      <c r="G189" s="424"/>
      <c r="H189" s="424"/>
      <c r="I189" s="424"/>
      <c r="J189" s="424"/>
      <c r="K189" s="424"/>
      <c r="L189" s="424"/>
      <c r="M189" s="424"/>
      <c r="N189" s="424"/>
      <c r="O189" s="424"/>
      <c r="P189" s="424"/>
      <c r="Q189" s="424"/>
      <c r="R189" s="424"/>
      <c r="S189" s="424"/>
      <c r="T189" s="424"/>
      <c r="U189" s="424"/>
      <c r="V189" s="424"/>
      <c r="W189" s="425"/>
      <c r="X189" s="2"/>
    </row>
    <row r="190" spans="2:26">
      <c r="B190" s="7"/>
      <c r="C190" s="149" t="s">
        <v>238</v>
      </c>
      <c r="D190" s="181"/>
      <c r="E190" s="181"/>
      <c r="F190" s="181"/>
      <c r="G190" s="181"/>
      <c r="H190" s="181"/>
      <c r="I190" s="181"/>
      <c r="J190" s="181"/>
      <c r="K190" s="181"/>
      <c r="L190" s="181"/>
      <c r="M190" s="181"/>
      <c r="N190" s="181"/>
      <c r="O190" s="181"/>
      <c r="P190" s="182"/>
      <c r="Q190" s="426">
        <v>33219778</v>
      </c>
      <c r="R190" s="426"/>
      <c r="S190" s="426"/>
      <c r="T190" s="426"/>
      <c r="U190" s="426"/>
      <c r="V190" s="426"/>
      <c r="W190" s="427"/>
      <c r="X190" s="2"/>
    </row>
    <row r="191" spans="2:26">
      <c r="B191" s="7"/>
      <c r="C191" s="149" t="s">
        <v>239</v>
      </c>
      <c r="D191" s="22"/>
      <c r="E191" s="22"/>
      <c r="F191" s="22"/>
      <c r="G191" s="22"/>
      <c r="H191" s="22"/>
      <c r="I191" s="22"/>
      <c r="J191" s="22"/>
      <c r="K191" s="22"/>
      <c r="L191" s="22"/>
      <c r="M191" s="22"/>
      <c r="N191" s="22"/>
      <c r="O191" s="22"/>
      <c r="P191" s="150"/>
      <c r="Q191" s="426">
        <v>33219778</v>
      </c>
      <c r="R191" s="426"/>
      <c r="S191" s="426"/>
      <c r="T191" s="426"/>
      <c r="U191" s="426"/>
      <c r="V191" s="426"/>
      <c r="W191" s="427"/>
      <c r="X191" s="2"/>
    </row>
    <row r="192" spans="2:26">
      <c r="B192" s="7"/>
      <c r="C192" s="23" t="s">
        <v>240</v>
      </c>
      <c r="D192" s="22"/>
      <c r="E192" s="22"/>
      <c r="F192" s="22"/>
      <c r="G192" s="22"/>
      <c r="H192" s="22"/>
      <c r="I192" s="22"/>
      <c r="J192" s="22"/>
      <c r="K192" s="22"/>
      <c r="L192" s="22"/>
      <c r="M192" s="22"/>
      <c r="N192" s="22"/>
      <c r="O192" s="22"/>
      <c r="P192" s="150"/>
      <c r="Q192" s="426">
        <v>33219778</v>
      </c>
      <c r="R192" s="426"/>
      <c r="S192" s="426"/>
      <c r="T192" s="426"/>
      <c r="U192" s="426"/>
      <c r="V192" s="426"/>
      <c r="W192" s="427"/>
      <c r="X192" s="2"/>
    </row>
    <row r="193" spans="2:24">
      <c r="B193" s="7"/>
      <c r="C193" s="23" t="s">
        <v>241</v>
      </c>
      <c r="D193" s="22"/>
      <c r="E193" s="22"/>
      <c r="F193" s="22"/>
      <c r="G193" s="22"/>
      <c r="H193" s="22"/>
      <c r="I193" s="22"/>
      <c r="J193" s="22"/>
      <c r="K193" s="22"/>
      <c r="L193" s="22"/>
      <c r="M193" s="22"/>
      <c r="N193" s="22"/>
      <c r="O193" s="22"/>
      <c r="P193" s="150"/>
      <c r="Q193" s="426">
        <f>Q190-Q192</f>
        <v>0</v>
      </c>
      <c r="R193" s="426"/>
      <c r="S193" s="426"/>
      <c r="T193" s="426"/>
      <c r="U193" s="426"/>
      <c r="V193" s="426"/>
      <c r="W193" s="427"/>
      <c r="X193" s="2"/>
    </row>
    <row r="194" spans="2:24">
      <c r="B194" s="7"/>
      <c r="C194" s="23" t="s">
        <v>242</v>
      </c>
      <c r="D194" s="22"/>
      <c r="E194" s="22"/>
      <c r="F194" s="22"/>
      <c r="G194" s="22"/>
      <c r="H194" s="22"/>
      <c r="I194" s="22"/>
      <c r="J194" s="22"/>
      <c r="K194" s="22"/>
      <c r="L194" s="22"/>
      <c r="M194" s="22"/>
      <c r="N194" s="22"/>
      <c r="O194" s="22"/>
      <c r="P194" s="150"/>
      <c r="Q194" s="426">
        <v>0</v>
      </c>
      <c r="R194" s="426"/>
      <c r="S194" s="426"/>
      <c r="T194" s="426"/>
      <c r="U194" s="426"/>
      <c r="V194" s="426"/>
      <c r="W194" s="427"/>
      <c r="X194" s="2"/>
    </row>
    <row r="195" spans="2:24" ht="15" thickBot="1">
      <c r="B195" s="7"/>
      <c r="C195" s="27" t="s">
        <v>243</v>
      </c>
      <c r="D195" s="28"/>
      <c r="E195" s="28"/>
      <c r="F195" s="28"/>
      <c r="G195" s="28"/>
      <c r="H195" s="28"/>
      <c r="I195" s="28"/>
      <c r="J195" s="28"/>
      <c r="K195" s="28"/>
      <c r="L195" s="28"/>
      <c r="M195" s="28"/>
      <c r="N195" s="28"/>
      <c r="O195" s="28"/>
      <c r="P195" s="152"/>
      <c r="Q195" s="434">
        <f>Q192</f>
        <v>33219778</v>
      </c>
      <c r="R195" s="434"/>
      <c r="S195" s="434"/>
      <c r="T195" s="434"/>
      <c r="U195" s="434"/>
      <c r="V195" s="434"/>
      <c r="W195" s="435"/>
      <c r="X195" s="2"/>
    </row>
    <row r="196" spans="2:24" ht="15" thickBot="1">
      <c r="B196" s="7"/>
      <c r="C196" s="9"/>
      <c r="D196" s="9"/>
      <c r="E196" s="9"/>
      <c r="F196" s="9"/>
      <c r="G196" s="9"/>
      <c r="H196" s="9"/>
      <c r="I196" s="9"/>
      <c r="J196" s="9"/>
      <c r="K196" s="9"/>
      <c r="L196" s="9"/>
      <c r="M196" s="9"/>
      <c r="N196" s="9"/>
      <c r="O196" s="9"/>
      <c r="P196" s="9"/>
      <c r="Q196" s="9"/>
      <c r="R196" s="9"/>
      <c r="S196" s="9"/>
      <c r="T196" s="9"/>
      <c r="U196" s="9"/>
      <c r="V196" s="9"/>
      <c r="W196" s="2"/>
      <c r="X196" s="2"/>
    </row>
    <row r="197" spans="2:24" ht="15" thickBot="1">
      <c r="B197" s="7"/>
      <c r="C197" s="282" t="s">
        <v>244</v>
      </c>
      <c r="D197" s="283"/>
      <c r="E197" s="283"/>
      <c r="F197" s="283"/>
      <c r="G197" s="283"/>
      <c r="H197" s="283"/>
      <c r="I197" s="283"/>
      <c r="J197" s="283"/>
      <c r="K197" s="283"/>
      <c r="L197" s="283"/>
      <c r="M197" s="283"/>
      <c r="N197" s="283"/>
      <c r="O197" s="283"/>
      <c r="P197" s="283"/>
      <c r="Q197" s="283"/>
      <c r="R197" s="283"/>
      <c r="S197" s="283"/>
      <c r="T197" s="283"/>
      <c r="U197" s="283"/>
      <c r="V197" s="283"/>
      <c r="W197" s="284"/>
      <c r="X197" s="2"/>
    </row>
    <row r="198" spans="2:24">
      <c r="B198" s="7"/>
      <c r="C198" s="146" t="s">
        <v>245</v>
      </c>
      <c r="D198" s="183"/>
      <c r="E198" s="183"/>
      <c r="F198" s="183"/>
      <c r="G198" s="183"/>
      <c r="H198" s="183"/>
      <c r="I198" s="183"/>
      <c r="J198" s="183"/>
      <c r="K198" s="183"/>
      <c r="L198" s="183"/>
      <c r="M198" s="183"/>
      <c r="N198" s="183"/>
      <c r="O198" s="183"/>
      <c r="P198" s="184"/>
      <c r="Q198" s="436">
        <v>0</v>
      </c>
      <c r="R198" s="436"/>
      <c r="S198" s="436"/>
      <c r="T198" s="436"/>
      <c r="U198" s="436"/>
      <c r="V198" s="436"/>
      <c r="W198" s="437"/>
      <c r="X198" s="2"/>
    </row>
    <row r="199" spans="2:24">
      <c r="B199" s="7"/>
      <c r="C199" s="149" t="s">
        <v>246</v>
      </c>
      <c r="D199" s="181"/>
      <c r="E199" s="181"/>
      <c r="F199" s="181"/>
      <c r="G199" s="181"/>
      <c r="H199" s="181"/>
      <c r="I199" s="181"/>
      <c r="J199" s="181"/>
      <c r="K199" s="181"/>
      <c r="L199" s="181"/>
      <c r="M199" s="181"/>
      <c r="N199" s="181"/>
      <c r="O199" s="181"/>
      <c r="P199" s="182"/>
      <c r="Q199" s="426">
        <v>0</v>
      </c>
      <c r="R199" s="426"/>
      <c r="S199" s="426"/>
      <c r="T199" s="426"/>
      <c r="U199" s="426"/>
      <c r="V199" s="426"/>
      <c r="W199" s="427"/>
      <c r="X199" s="2"/>
    </row>
    <row r="200" spans="2:24">
      <c r="B200" s="7"/>
      <c r="C200" s="149" t="s">
        <v>247</v>
      </c>
      <c r="D200" s="181"/>
      <c r="E200" s="181"/>
      <c r="F200" s="181"/>
      <c r="G200" s="181"/>
      <c r="H200" s="181"/>
      <c r="I200" s="181"/>
      <c r="J200" s="181"/>
      <c r="K200" s="181"/>
      <c r="L200" s="181"/>
      <c r="M200" s="181"/>
      <c r="N200" s="181"/>
      <c r="O200" s="181"/>
      <c r="P200" s="182"/>
      <c r="Q200" s="426">
        <v>0</v>
      </c>
      <c r="R200" s="426"/>
      <c r="S200" s="426"/>
      <c r="T200" s="426"/>
      <c r="U200" s="426"/>
      <c r="V200" s="426"/>
      <c r="W200" s="427"/>
      <c r="X200" s="2"/>
    </row>
    <row r="201" spans="2:24">
      <c r="B201" s="7"/>
      <c r="C201" s="149" t="s">
        <v>248</v>
      </c>
      <c r="D201" s="181"/>
      <c r="E201" s="181"/>
      <c r="F201" s="181"/>
      <c r="G201" s="181"/>
      <c r="H201" s="181"/>
      <c r="I201" s="181"/>
      <c r="J201" s="181"/>
      <c r="K201" s="181"/>
      <c r="L201" s="181"/>
      <c r="M201" s="181"/>
      <c r="N201" s="181"/>
      <c r="O201" s="181"/>
      <c r="P201" s="182"/>
      <c r="Q201" s="426">
        <f>Q198+Q199-Q200</f>
        <v>0</v>
      </c>
      <c r="R201" s="426"/>
      <c r="S201" s="426"/>
      <c r="T201" s="426"/>
      <c r="U201" s="426"/>
      <c r="V201" s="426"/>
      <c r="W201" s="427"/>
      <c r="X201" s="2"/>
    </row>
    <row r="202" spans="2:24">
      <c r="B202" s="7"/>
      <c r="C202" s="149" t="s">
        <v>249</v>
      </c>
      <c r="D202" s="181"/>
      <c r="E202" s="181"/>
      <c r="F202" s="181"/>
      <c r="G202" s="181"/>
      <c r="H202" s="181"/>
      <c r="I202" s="181"/>
      <c r="J202" s="181"/>
      <c r="K202" s="181"/>
      <c r="L202" s="181"/>
      <c r="M202" s="181"/>
      <c r="N202" s="181"/>
      <c r="O202" s="181"/>
      <c r="P202" s="182"/>
      <c r="Q202" s="426">
        <v>0</v>
      </c>
      <c r="R202" s="426"/>
      <c r="S202" s="426"/>
      <c r="T202" s="426"/>
      <c r="U202" s="426"/>
      <c r="V202" s="426"/>
      <c r="W202" s="427"/>
      <c r="X202" s="2"/>
    </row>
    <row r="203" spans="2:24">
      <c r="B203" s="7"/>
      <c r="C203" s="149" t="s">
        <v>250</v>
      </c>
      <c r="D203" s="181"/>
      <c r="E203" s="181"/>
      <c r="F203" s="181"/>
      <c r="G203" s="181"/>
      <c r="H203" s="181"/>
      <c r="I203" s="181"/>
      <c r="J203" s="181"/>
      <c r="K203" s="181"/>
      <c r="L203" s="181"/>
      <c r="M203" s="181"/>
      <c r="N203" s="181"/>
      <c r="O203" s="181"/>
      <c r="P203" s="182"/>
      <c r="Q203" s="426">
        <v>0</v>
      </c>
      <c r="R203" s="426"/>
      <c r="S203" s="426"/>
      <c r="T203" s="426"/>
      <c r="U203" s="426"/>
      <c r="V203" s="426"/>
      <c r="W203" s="427"/>
      <c r="X203" s="2"/>
    </row>
    <row r="204" spans="2:24" ht="15" thickBot="1">
      <c r="B204" s="7"/>
      <c r="C204" s="177" t="s">
        <v>251</v>
      </c>
      <c r="D204" s="185"/>
      <c r="E204" s="185"/>
      <c r="F204" s="185"/>
      <c r="G204" s="185"/>
      <c r="H204" s="185"/>
      <c r="I204" s="185"/>
      <c r="J204" s="185"/>
      <c r="K204" s="185"/>
      <c r="L204" s="185"/>
      <c r="M204" s="185"/>
      <c r="N204" s="185"/>
      <c r="O204" s="185"/>
      <c r="P204" s="186"/>
      <c r="Q204" s="426">
        <f>Q201-Q202+Q203</f>
        <v>0</v>
      </c>
      <c r="R204" s="426"/>
      <c r="S204" s="426"/>
      <c r="T204" s="426"/>
      <c r="U204" s="426"/>
      <c r="V204" s="426"/>
      <c r="W204" s="427"/>
      <c r="X204" s="2"/>
    </row>
    <row r="205" spans="2:24" ht="15" thickBot="1">
      <c r="B205" s="7"/>
      <c r="C205" s="187"/>
      <c r="D205" s="188"/>
      <c r="E205" s="188"/>
      <c r="F205" s="188"/>
      <c r="G205" s="188"/>
      <c r="H205" s="188"/>
      <c r="I205" s="188"/>
      <c r="J205" s="188"/>
      <c r="K205" s="188"/>
      <c r="L205" s="188"/>
      <c r="M205" s="188"/>
      <c r="N205" s="188"/>
      <c r="O205" s="188"/>
      <c r="P205" s="189"/>
      <c r="Q205" s="189"/>
      <c r="R205" s="189"/>
      <c r="S205" s="189"/>
      <c r="T205" s="189"/>
      <c r="U205" s="189"/>
      <c r="V205" s="189"/>
      <c r="W205" s="2"/>
      <c r="X205" s="2"/>
    </row>
    <row r="206" spans="2:24" ht="15" thickBot="1">
      <c r="B206" s="7"/>
      <c r="C206" s="282" t="s">
        <v>252</v>
      </c>
      <c r="D206" s="283"/>
      <c r="E206" s="283"/>
      <c r="F206" s="283"/>
      <c r="G206" s="283"/>
      <c r="H206" s="283"/>
      <c r="I206" s="283"/>
      <c r="J206" s="283"/>
      <c r="K206" s="283"/>
      <c r="L206" s="283"/>
      <c r="M206" s="283"/>
      <c r="N206" s="283"/>
      <c r="O206" s="283"/>
      <c r="P206" s="283"/>
      <c r="Q206" s="283"/>
      <c r="R206" s="283"/>
      <c r="S206" s="283"/>
      <c r="T206" s="283"/>
      <c r="U206" s="283"/>
      <c r="V206" s="283"/>
      <c r="W206" s="284"/>
      <c r="X206" s="2"/>
    </row>
    <row r="207" spans="2:24">
      <c r="B207" s="7"/>
      <c r="C207" s="166" t="s">
        <v>253</v>
      </c>
      <c r="D207" s="11"/>
      <c r="E207" s="190"/>
      <c r="F207" s="190"/>
      <c r="G207" s="190"/>
      <c r="H207" s="190"/>
      <c r="I207" s="190"/>
      <c r="J207" s="190"/>
      <c r="K207" s="190"/>
      <c r="L207" s="190"/>
      <c r="M207" s="190"/>
      <c r="N207" s="190"/>
      <c r="O207" s="190"/>
      <c r="P207" s="454">
        <f>10%</f>
        <v>0.1</v>
      </c>
      <c r="Q207" s="455"/>
      <c r="R207" s="455"/>
      <c r="S207" s="455"/>
      <c r="T207" s="455"/>
      <c r="U207" s="455"/>
      <c r="V207" s="455"/>
      <c r="W207" s="456"/>
      <c r="X207" s="2"/>
    </row>
    <row r="208" spans="2:24">
      <c r="B208" s="7"/>
      <c r="C208" s="23"/>
      <c r="D208" s="33"/>
      <c r="E208" s="33"/>
      <c r="F208" s="33"/>
      <c r="G208" s="33"/>
      <c r="H208" s="33"/>
      <c r="I208" s="33"/>
      <c r="J208" s="33"/>
      <c r="K208" s="33"/>
      <c r="L208" s="457" t="s">
        <v>254</v>
      </c>
      <c r="M208" s="458"/>
      <c r="N208" s="459"/>
      <c r="O208" s="460" t="s">
        <v>255</v>
      </c>
      <c r="P208" s="461"/>
      <c r="Q208" s="462" t="s">
        <v>256</v>
      </c>
      <c r="R208" s="462"/>
      <c r="S208" s="462"/>
      <c r="T208" s="462"/>
      <c r="U208" s="462" t="s">
        <v>257</v>
      </c>
      <c r="V208" s="462"/>
      <c r="W208" s="463"/>
      <c r="X208" s="2"/>
    </row>
    <row r="209" spans="2:26">
      <c r="B209" s="7"/>
      <c r="C209" s="12" t="s">
        <v>258</v>
      </c>
      <c r="D209" s="37"/>
      <c r="E209" s="37"/>
      <c r="F209" s="37"/>
      <c r="G209" s="37"/>
      <c r="H209" s="37"/>
      <c r="I209" s="37"/>
      <c r="J209" s="37"/>
      <c r="K209" s="37"/>
      <c r="L209" s="438">
        <f>K14</f>
        <v>45884</v>
      </c>
      <c r="M209" s="439"/>
      <c r="N209" s="440"/>
      <c r="O209" s="441">
        <f>G29</f>
        <v>7.0169999999999996E-2</v>
      </c>
      <c r="P209" s="442"/>
      <c r="Q209" s="443">
        <v>153651392.35271823</v>
      </c>
      <c r="R209" s="443"/>
      <c r="S209" s="443"/>
      <c r="T209" s="443"/>
      <c r="U209" s="443">
        <f>Q209</f>
        <v>153651392.35271823</v>
      </c>
      <c r="V209" s="443"/>
      <c r="W209" s="444"/>
      <c r="X209" s="2"/>
    </row>
    <row r="210" spans="2:26">
      <c r="B210" s="7"/>
      <c r="C210" s="97" t="s">
        <v>259</v>
      </c>
      <c r="D210" s="14"/>
      <c r="E210" s="14"/>
      <c r="F210" s="14"/>
      <c r="G210" s="14"/>
      <c r="H210" s="14"/>
      <c r="I210" s="14"/>
      <c r="J210" s="14"/>
      <c r="K210" s="14"/>
      <c r="L210" s="445"/>
      <c r="M210" s="446"/>
      <c r="N210" s="447"/>
      <c r="O210" s="448"/>
      <c r="P210" s="449"/>
      <c r="Q210" s="450">
        <f>SUM(Q211:S213)</f>
        <v>0</v>
      </c>
      <c r="R210" s="451"/>
      <c r="S210" s="451"/>
      <c r="T210" s="451"/>
      <c r="U210" s="452">
        <f>Q210</f>
        <v>0</v>
      </c>
      <c r="V210" s="452"/>
      <c r="W210" s="453"/>
      <c r="X210" s="2"/>
    </row>
    <row r="211" spans="2:26">
      <c r="B211" s="7"/>
      <c r="C211" s="73" t="s">
        <v>260</v>
      </c>
      <c r="D211" s="37"/>
      <c r="E211" s="37"/>
      <c r="F211" s="37"/>
      <c r="G211" s="37"/>
      <c r="H211" s="37"/>
      <c r="I211" s="37"/>
      <c r="J211" s="37"/>
      <c r="K211" s="37"/>
      <c r="L211" s="467"/>
      <c r="M211" s="468"/>
      <c r="N211" s="469"/>
      <c r="O211" s="470"/>
      <c r="P211" s="471"/>
      <c r="Q211" s="472">
        <f>U62</f>
        <v>0</v>
      </c>
      <c r="R211" s="473"/>
      <c r="S211" s="473"/>
      <c r="T211" s="192"/>
      <c r="U211" s="474">
        <f>Q211</f>
        <v>0</v>
      </c>
      <c r="V211" s="475"/>
      <c r="W211" s="193"/>
      <c r="X211" s="2"/>
    </row>
    <row r="212" spans="2:26">
      <c r="B212" s="7"/>
      <c r="C212" s="73" t="s">
        <v>261</v>
      </c>
      <c r="D212" s="37"/>
      <c r="E212" s="37"/>
      <c r="F212" s="37"/>
      <c r="G212" s="37"/>
      <c r="H212" s="37"/>
      <c r="I212" s="37"/>
      <c r="J212" s="37"/>
      <c r="K212" s="37"/>
      <c r="L212" s="467"/>
      <c r="M212" s="468"/>
      <c r="N212" s="469"/>
      <c r="O212" s="470"/>
      <c r="P212" s="471"/>
      <c r="Q212" s="472"/>
      <c r="R212" s="473"/>
      <c r="S212" s="473"/>
      <c r="T212" s="192"/>
      <c r="U212" s="474"/>
      <c r="V212" s="475"/>
      <c r="W212" s="193"/>
      <c r="X212" s="2"/>
    </row>
    <row r="213" spans="2:26">
      <c r="B213" s="7"/>
      <c r="C213" s="73" t="s">
        <v>262</v>
      </c>
      <c r="D213" s="116"/>
      <c r="E213" s="116"/>
      <c r="F213" s="116"/>
      <c r="G213" s="116"/>
      <c r="H213" s="116"/>
      <c r="I213" s="116"/>
      <c r="J213" s="116"/>
      <c r="K213" s="116"/>
      <c r="L213" s="478"/>
      <c r="M213" s="479"/>
      <c r="N213" s="194"/>
      <c r="O213" s="480"/>
      <c r="P213" s="481"/>
      <c r="Q213" s="472"/>
      <c r="R213" s="473"/>
      <c r="S213" s="473"/>
      <c r="T213" s="192"/>
      <c r="U213" s="482"/>
      <c r="V213" s="483"/>
      <c r="W213" s="195"/>
      <c r="X213" s="2"/>
    </row>
    <row r="214" spans="2:26">
      <c r="B214" s="7"/>
      <c r="C214" s="97" t="s">
        <v>263</v>
      </c>
      <c r="D214" s="14"/>
      <c r="E214" s="464"/>
      <c r="F214" s="464"/>
      <c r="G214" s="197"/>
      <c r="H214" s="197"/>
      <c r="I214" s="197"/>
      <c r="J214" s="197"/>
      <c r="K214" s="197"/>
      <c r="L214" s="198"/>
      <c r="M214" s="198"/>
      <c r="N214" s="198"/>
      <c r="O214" s="197"/>
      <c r="P214" s="199"/>
      <c r="Q214" s="443">
        <f>U209+U210</f>
        <v>153651392.35271823</v>
      </c>
      <c r="R214" s="443"/>
      <c r="S214" s="443"/>
      <c r="T214" s="443"/>
      <c r="U214" s="465"/>
      <c r="V214" s="465"/>
      <c r="W214" s="466"/>
      <c r="X214" s="71"/>
    </row>
    <row r="215" spans="2:26">
      <c r="B215" s="7"/>
      <c r="C215" s="124" t="s">
        <v>264</v>
      </c>
      <c r="D215" s="200"/>
      <c r="E215" s="200"/>
      <c r="F215" s="200"/>
      <c r="G215" s="200"/>
      <c r="H215" s="200"/>
      <c r="I215" s="200"/>
      <c r="J215" s="200"/>
      <c r="K215" s="200"/>
      <c r="L215" s="200"/>
      <c r="M215" s="200"/>
      <c r="N215" s="200"/>
      <c r="O215" s="200"/>
      <c r="P215" s="201"/>
      <c r="Q215" s="443">
        <f>(Q209*(O209+$P$207)*$K$16/365)+(Q211*(O211+$P$207)*(K15-L211)/365)</f>
        <v>6733711.2302636541</v>
      </c>
      <c r="R215" s="443"/>
      <c r="S215" s="443"/>
      <c r="T215" s="443"/>
      <c r="U215" s="443"/>
      <c r="V215" s="443"/>
      <c r="W215" s="444"/>
      <c r="X215" s="2"/>
      <c r="Y215" s="202"/>
      <c r="Z215" s="95"/>
    </row>
    <row r="216" spans="2:26">
      <c r="B216" s="7"/>
      <c r="C216" s="124" t="s">
        <v>265</v>
      </c>
      <c r="D216" s="200"/>
      <c r="E216" s="200"/>
      <c r="F216" s="200"/>
      <c r="G216" s="200"/>
      <c r="H216" s="200"/>
      <c r="I216" s="200"/>
      <c r="J216" s="200"/>
      <c r="K216" s="200"/>
      <c r="L216" s="200"/>
      <c r="M216" s="200"/>
      <c r="N216" s="200"/>
      <c r="O216" s="200"/>
      <c r="P216" s="201"/>
      <c r="Q216" s="443">
        <v>0</v>
      </c>
      <c r="R216" s="443"/>
      <c r="S216" s="443"/>
      <c r="T216" s="443"/>
      <c r="U216" s="443"/>
      <c r="V216" s="443"/>
      <c r="W216" s="444"/>
      <c r="X216" s="2"/>
    </row>
    <row r="217" spans="2:26">
      <c r="B217" s="7"/>
      <c r="C217" s="149" t="s">
        <v>266</v>
      </c>
      <c r="D217" s="181"/>
      <c r="E217" s="181"/>
      <c r="F217" s="181"/>
      <c r="G217" s="181"/>
      <c r="H217" s="181"/>
      <c r="I217" s="181"/>
      <c r="J217" s="181"/>
      <c r="K217" s="181"/>
      <c r="L217" s="181"/>
      <c r="M217" s="181"/>
      <c r="N217" s="181"/>
      <c r="O217" s="181"/>
      <c r="P217" s="182"/>
      <c r="Q217" s="443">
        <f>T182</f>
        <v>6733711.2302636541</v>
      </c>
      <c r="R217" s="443"/>
      <c r="S217" s="443"/>
      <c r="T217" s="443"/>
      <c r="U217" s="443"/>
      <c r="V217" s="443"/>
      <c r="W217" s="444"/>
      <c r="X217" s="2"/>
    </row>
    <row r="218" spans="2:26">
      <c r="B218" s="7"/>
      <c r="C218" s="149" t="s">
        <v>267</v>
      </c>
      <c r="D218" s="181"/>
      <c r="E218" s="181"/>
      <c r="F218" s="181"/>
      <c r="G218" s="181"/>
      <c r="H218" s="181"/>
      <c r="I218" s="181"/>
      <c r="J218" s="181"/>
      <c r="K218" s="181"/>
      <c r="L218" s="181"/>
      <c r="M218" s="181"/>
      <c r="N218" s="181"/>
      <c r="O218" s="181"/>
      <c r="P218" s="182"/>
      <c r="Q218" s="443">
        <f>Q215-Q217</f>
        <v>0</v>
      </c>
      <c r="R218" s="443"/>
      <c r="S218" s="443"/>
      <c r="T218" s="443"/>
      <c r="U218" s="443"/>
      <c r="V218" s="443"/>
      <c r="W218" s="444"/>
      <c r="X218" s="2"/>
    </row>
    <row r="219" spans="2:26">
      <c r="B219" s="7"/>
      <c r="C219" s="149" t="s">
        <v>268</v>
      </c>
      <c r="D219" s="181"/>
      <c r="E219" s="181"/>
      <c r="F219" s="181"/>
      <c r="G219" s="181"/>
      <c r="H219" s="181"/>
      <c r="I219" s="181"/>
      <c r="J219" s="181"/>
      <c r="K219" s="181"/>
      <c r="L219" s="181"/>
      <c r="M219" s="181"/>
      <c r="N219" s="181"/>
      <c r="O219" s="181"/>
      <c r="P219" s="182"/>
      <c r="Q219" s="443">
        <f>L183</f>
        <v>0</v>
      </c>
      <c r="R219" s="443"/>
      <c r="S219" s="443"/>
      <c r="T219" s="443"/>
      <c r="U219" s="443"/>
      <c r="V219" s="443"/>
      <c r="W219" s="444"/>
      <c r="X219" s="2"/>
    </row>
    <row r="220" spans="2:26">
      <c r="B220" s="7"/>
      <c r="C220" s="149" t="s">
        <v>269</v>
      </c>
      <c r="D220" s="181"/>
      <c r="E220" s="181"/>
      <c r="F220" s="181"/>
      <c r="G220" s="181"/>
      <c r="H220" s="181"/>
      <c r="I220" s="181"/>
      <c r="J220" s="181"/>
      <c r="K220" s="181"/>
      <c r="L220" s="181"/>
      <c r="M220" s="181"/>
      <c r="N220" s="181"/>
      <c r="O220" s="181"/>
      <c r="P220" s="182"/>
      <c r="Q220" s="443">
        <v>0</v>
      </c>
      <c r="R220" s="443"/>
      <c r="S220" s="443"/>
      <c r="T220" s="443"/>
      <c r="U220" s="443"/>
      <c r="V220" s="443"/>
      <c r="W220" s="444"/>
      <c r="X220" s="2"/>
    </row>
    <row r="221" spans="2:26" ht="15" thickBot="1">
      <c r="B221" s="7"/>
      <c r="C221" s="151" t="s">
        <v>270</v>
      </c>
      <c r="D221" s="203"/>
      <c r="E221" s="203"/>
      <c r="F221" s="203"/>
      <c r="G221" s="203"/>
      <c r="H221" s="203"/>
      <c r="I221" s="203"/>
      <c r="J221" s="203"/>
      <c r="K221" s="203"/>
      <c r="L221" s="203"/>
      <c r="M221" s="203"/>
      <c r="N221" s="203"/>
      <c r="O221" s="203"/>
      <c r="P221" s="204"/>
      <c r="Q221" s="476">
        <f>Q214+Q218-Q219</f>
        <v>153651392.35271823</v>
      </c>
      <c r="R221" s="476"/>
      <c r="S221" s="476"/>
      <c r="T221" s="476"/>
      <c r="U221" s="476"/>
      <c r="V221" s="476"/>
      <c r="W221" s="477"/>
      <c r="X221" s="2"/>
      <c r="Z221" s="6"/>
    </row>
    <row r="222" spans="2:26" ht="15" thickBot="1">
      <c r="B222" s="205"/>
      <c r="C222" s="206"/>
      <c r="D222" s="92"/>
      <c r="E222" s="92"/>
      <c r="F222" s="92"/>
      <c r="G222" s="92"/>
      <c r="H222" s="92"/>
      <c r="I222" s="92"/>
      <c r="J222" s="92"/>
      <c r="K222" s="92"/>
      <c r="L222" s="92"/>
      <c r="M222" s="92"/>
      <c r="N222" s="92"/>
      <c r="O222" s="92"/>
      <c r="P222" s="92"/>
      <c r="Q222" s="92"/>
      <c r="R222" s="92"/>
      <c r="S222" s="92"/>
      <c r="T222" s="92"/>
      <c r="U222" s="92"/>
      <c r="V222" s="92"/>
      <c r="W222" s="207"/>
      <c r="X222" s="2"/>
    </row>
    <row r="229" spans="17:21">
      <c r="Q229" s="208"/>
      <c r="R229" s="208"/>
    </row>
    <row r="230" spans="17:21">
      <c r="S230" s="26"/>
      <c r="T230" s="26"/>
      <c r="U230" s="26"/>
    </row>
    <row r="231" spans="17:21">
      <c r="S231" s="209"/>
      <c r="T231" s="209"/>
      <c r="U231" s="209"/>
    </row>
    <row r="232" spans="17:21">
      <c r="S232" s="6"/>
      <c r="T232" s="6"/>
      <c r="U232" s="6"/>
    </row>
    <row r="233" spans="17:21">
      <c r="Q233" s="208"/>
      <c r="R233" s="208"/>
    </row>
    <row r="234" spans="17:21">
      <c r="S234" s="6"/>
      <c r="U234" s="210"/>
    </row>
    <row r="235" spans="17:21">
      <c r="S235" s="26"/>
      <c r="T235" s="26"/>
      <c r="U235" s="26"/>
    </row>
    <row r="236" spans="17:21">
      <c r="S236" s="26"/>
      <c r="T236" s="26"/>
      <c r="U236" s="26"/>
    </row>
    <row r="237" spans="17:21">
      <c r="S237" s="8"/>
      <c r="T237" s="8"/>
      <c r="U237" s="8"/>
    </row>
    <row r="239" spans="17:21">
      <c r="S239" s="95"/>
      <c r="T239" s="95"/>
      <c r="U239" s="95"/>
    </row>
    <row r="240" spans="17:21">
      <c r="S240" s="6"/>
    </row>
    <row r="241" spans="19:19">
      <c r="S241" s="6"/>
    </row>
    <row r="242" spans="19:19">
      <c r="S242" s="8"/>
    </row>
  </sheetData>
  <mergeCells count="290">
    <mergeCell ref="Q221:W221"/>
    <mergeCell ref="Q215:W215"/>
    <mergeCell ref="Q216:W216"/>
    <mergeCell ref="Q217:W217"/>
    <mergeCell ref="Q218:W218"/>
    <mergeCell ref="Q219:W219"/>
    <mergeCell ref="Q220:W220"/>
    <mergeCell ref="L213:M213"/>
    <mergeCell ref="O213:P213"/>
    <mergeCell ref="Q213:S213"/>
    <mergeCell ref="U213:V213"/>
    <mergeCell ref="E214:F214"/>
    <mergeCell ref="Q214:W214"/>
    <mergeCell ref="L211:N211"/>
    <mergeCell ref="O211:P211"/>
    <mergeCell ref="Q211:S211"/>
    <mergeCell ref="U211:V211"/>
    <mergeCell ref="L212:N212"/>
    <mergeCell ref="O212:P212"/>
    <mergeCell ref="Q212:S212"/>
    <mergeCell ref="U212:V212"/>
    <mergeCell ref="L209:N209"/>
    <mergeCell ref="O209:P209"/>
    <mergeCell ref="Q209:T209"/>
    <mergeCell ref="U209:W209"/>
    <mergeCell ref="L210:N210"/>
    <mergeCell ref="O210:P210"/>
    <mergeCell ref="Q210:T210"/>
    <mergeCell ref="U210:W210"/>
    <mergeCell ref="C206:W206"/>
    <mergeCell ref="P207:W207"/>
    <mergeCell ref="L208:N208"/>
    <mergeCell ref="O208:P208"/>
    <mergeCell ref="Q208:T208"/>
    <mergeCell ref="U208:W208"/>
    <mergeCell ref="Q199:W199"/>
    <mergeCell ref="Q200:W200"/>
    <mergeCell ref="Q201:W201"/>
    <mergeCell ref="Q202:W202"/>
    <mergeCell ref="Q203:W203"/>
    <mergeCell ref="Q204:W204"/>
    <mergeCell ref="Q192:W192"/>
    <mergeCell ref="Q193:W193"/>
    <mergeCell ref="Q194:W194"/>
    <mergeCell ref="Q195:W195"/>
    <mergeCell ref="C197:W197"/>
    <mergeCell ref="Q198:W198"/>
    <mergeCell ref="L187:O187"/>
    <mergeCell ref="P187:S187"/>
    <mergeCell ref="T187:W187"/>
    <mergeCell ref="C189:W189"/>
    <mergeCell ref="Q190:W190"/>
    <mergeCell ref="Q191:W191"/>
    <mergeCell ref="L185:O185"/>
    <mergeCell ref="P185:S185"/>
    <mergeCell ref="T185:W185"/>
    <mergeCell ref="L186:O186"/>
    <mergeCell ref="P186:S186"/>
    <mergeCell ref="T186:W186"/>
    <mergeCell ref="L183:M183"/>
    <mergeCell ref="P183:Q183"/>
    <mergeCell ref="T183:U183"/>
    <mergeCell ref="L184:M184"/>
    <mergeCell ref="P184:Q184"/>
    <mergeCell ref="T184:U184"/>
    <mergeCell ref="L181:O181"/>
    <mergeCell ref="P181:S181"/>
    <mergeCell ref="T181:W181"/>
    <mergeCell ref="L182:M182"/>
    <mergeCell ref="P182:Q182"/>
    <mergeCell ref="T182:U182"/>
    <mergeCell ref="L179:O179"/>
    <mergeCell ref="P179:S179"/>
    <mergeCell ref="T179:W179"/>
    <mergeCell ref="L180:O180"/>
    <mergeCell ref="P180:S180"/>
    <mergeCell ref="T180:W180"/>
    <mergeCell ref="L177:M177"/>
    <mergeCell ref="P177:Q177"/>
    <mergeCell ref="T177:U177"/>
    <mergeCell ref="L178:O178"/>
    <mergeCell ref="P178:S178"/>
    <mergeCell ref="T178:W178"/>
    <mergeCell ref="L175:O175"/>
    <mergeCell ref="P175:S175"/>
    <mergeCell ref="T175:W175"/>
    <mergeCell ref="L176:O176"/>
    <mergeCell ref="P176:S176"/>
    <mergeCell ref="T176:W176"/>
    <mergeCell ref="L173:M173"/>
    <mergeCell ref="P173:Q173"/>
    <mergeCell ref="T173:U173"/>
    <mergeCell ref="L174:O174"/>
    <mergeCell ref="P174:S174"/>
    <mergeCell ref="T174:W174"/>
    <mergeCell ref="L171:O171"/>
    <mergeCell ref="P171:S171"/>
    <mergeCell ref="T171:W171"/>
    <mergeCell ref="L172:M172"/>
    <mergeCell ref="P172:Q172"/>
    <mergeCell ref="T172:U172"/>
    <mergeCell ref="L169:O169"/>
    <mergeCell ref="P169:S169"/>
    <mergeCell ref="T169:W169"/>
    <mergeCell ref="L170:O170"/>
    <mergeCell ref="P170:S170"/>
    <mergeCell ref="T170:W170"/>
    <mergeCell ref="L167:M167"/>
    <mergeCell ref="P167:Q167"/>
    <mergeCell ref="T167:U167"/>
    <mergeCell ref="L168:M168"/>
    <mergeCell ref="P168:Q168"/>
    <mergeCell ref="T168:U168"/>
    <mergeCell ref="L165:M165"/>
    <mergeCell ref="P165:Q165"/>
    <mergeCell ref="T165:U165"/>
    <mergeCell ref="L166:M166"/>
    <mergeCell ref="P166:Q166"/>
    <mergeCell ref="T166:U166"/>
    <mergeCell ref="L163:N163"/>
    <mergeCell ref="P163:Q163"/>
    <mergeCell ref="T163:U163"/>
    <mergeCell ref="L164:M164"/>
    <mergeCell ref="P164:Q164"/>
    <mergeCell ref="T164:U164"/>
    <mergeCell ref="L161:O161"/>
    <mergeCell ref="P161:S161"/>
    <mergeCell ref="T161:W161"/>
    <mergeCell ref="L162:O162"/>
    <mergeCell ref="P162:S162"/>
    <mergeCell ref="T162:W162"/>
    <mergeCell ref="L159:O159"/>
    <mergeCell ref="P159:S159"/>
    <mergeCell ref="T159:W159"/>
    <mergeCell ref="L160:O160"/>
    <mergeCell ref="P160:S160"/>
    <mergeCell ref="T160:W160"/>
    <mergeCell ref="L157:O157"/>
    <mergeCell ref="P157:S157"/>
    <mergeCell ref="T157:W157"/>
    <mergeCell ref="L158:O158"/>
    <mergeCell ref="P158:S158"/>
    <mergeCell ref="T158:W158"/>
    <mergeCell ref="L155:M155"/>
    <mergeCell ref="P155:Q155"/>
    <mergeCell ref="T155:U155"/>
    <mergeCell ref="L156:O156"/>
    <mergeCell ref="P156:S156"/>
    <mergeCell ref="T156:W156"/>
    <mergeCell ref="L153:M153"/>
    <mergeCell ref="P153:Q153"/>
    <mergeCell ref="T153:U153"/>
    <mergeCell ref="L154:M154"/>
    <mergeCell ref="P154:Q154"/>
    <mergeCell ref="T154:U154"/>
    <mergeCell ref="L151:O151"/>
    <mergeCell ref="P151:S151"/>
    <mergeCell ref="T151:W151"/>
    <mergeCell ref="L152:O152"/>
    <mergeCell ref="P152:S152"/>
    <mergeCell ref="T152:W152"/>
    <mergeCell ref="L149:M149"/>
    <mergeCell ref="P149:Q149"/>
    <mergeCell ref="T149:U149"/>
    <mergeCell ref="L150:O150"/>
    <mergeCell ref="P150:S150"/>
    <mergeCell ref="T150:W150"/>
    <mergeCell ref="L147:M147"/>
    <mergeCell ref="P147:Q147"/>
    <mergeCell ref="T147:U147"/>
    <mergeCell ref="L148:M148"/>
    <mergeCell ref="P148:Q148"/>
    <mergeCell ref="T148:U148"/>
    <mergeCell ref="L145:M145"/>
    <mergeCell ref="P145:Q145"/>
    <mergeCell ref="T145:U145"/>
    <mergeCell ref="L146:O146"/>
    <mergeCell ref="P146:S146"/>
    <mergeCell ref="T146:W146"/>
    <mergeCell ref="L143:O143"/>
    <mergeCell ref="P143:S143"/>
    <mergeCell ref="T143:W143"/>
    <mergeCell ref="L144:M144"/>
    <mergeCell ref="P144:Q144"/>
    <mergeCell ref="T144:U144"/>
    <mergeCell ref="L141:M141"/>
    <mergeCell ref="P141:Q141"/>
    <mergeCell ref="T141:U141"/>
    <mergeCell ref="L142:M142"/>
    <mergeCell ref="P142:Q142"/>
    <mergeCell ref="T142:U142"/>
    <mergeCell ref="L139:O139"/>
    <mergeCell ref="P139:S139"/>
    <mergeCell ref="T139:W139"/>
    <mergeCell ref="L140:O140"/>
    <mergeCell ref="P140:S140"/>
    <mergeCell ref="T140:W140"/>
    <mergeCell ref="T132:U132"/>
    <mergeCell ref="T133:W133"/>
    <mergeCell ref="T134:U134"/>
    <mergeCell ref="T135:W135"/>
    <mergeCell ref="C137:W137"/>
    <mergeCell ref="C138:K138"/>
    <mergeCell ref="L138:O138"/>
    <mergeCell ref="P138:S138"/>
    <mergeCell ref="T138:W138"/>
    <mergeCell ref="T126:U126"/>
    <mergeCell ref="T127:U127"/>
    <mergeCell ref="T128:U128"/>
    <mergeCell ref="T129:U129"/>
    <mergeCell ref="T130:U130"/>
    <mergeCell ref="T131:U131"/>
    <mergeCell ref="C120:W120"/>
    <mergeCell ref="T121:U121"/>
    <mergeCell ref="T122:U122"/>
    <mergeCell ref="T123:U123"/>
    <mergeCell ref="T124:W124"/>
    <mergeCell ref="T125:U125"/>
    <mergeCell ref="L117:N117"/>
    <mergeCell ref="O117:Q117"/>
    <mergeCell ref="R117:T117"/>
    <mergeCell ref="U117:W117"/>
    <mergeCell ref="L118:N118"/>
    <mergeCell ref="O118:Q118"/>
    <mergeCell ref="R118:T118"/>
    <mergeCell ref="U118:W118"/>
    <mergeCell ref="C110:W110"/>
    <mergeCell ref="T111:W111"/>
    <mergeCell ref="T112:W112"/>
    <mergeCell ref="T113:W113"/>
    <mergeCell ref="C115:W115"/>
    <mergeCell ref="L116:N116"/>
    <mergeCell ref="O116:Q116"/>
    <mergeCell ref="R116:T116"/>
    <mergeCell ref="U116:W116"/>
    <mergeCell ref="T103:U103"/>
    <mergeCell ref="T104:U104"/>
    <mergeCell ref="T105:U105"/>
    <mergeCell ref="T106:U106"/>
    <mergeCell ref="T107:U107"/>
    <mergeCell ref="T108:U108"/>
    <mergeCell ref="T96:U96"/>
    <mergeCell ref="T97:U97"/>
    <mergeCell ref="T98:U98"/>
    <mergeCell ref="T99:U99"/>
    <mergeCell ref="C101:W101"/>
    <mergeCell ref="T102:W102"/>
    <mergeCell ref="T90:U90"/>
    <mergeCell ref="T91:U91"/>
    <mergeCell ref="T92:U92"/>
    <mergeCell ref="T93:U93"/>
    <mergeCell ref="C94:W94"/>
    <mergeCell ref="T95:W95"/>
    <mergeCell ref="T81:W81"/>
    <mergeCell ref="C82:W82"/>
    <mergeCell ref="T83:W83"/>
    <mergeCell ref="T84:U84"/>
    <mergeCell ref="T85:U85"/>
    <mergeCell ref="T86:U86"/>
    <mergeCell ref="C59:W59"/>
    <mergeCell ref="T60:W60"/>
    <mergeCell ref="T63:W63"/>
    <mergeCell ref="T64:U64"/>
    <mergeCell ref="T65:U65"/>
    <mergeCell ref="T66:W66"/>
    <mergeCell ref="T53:W53"/>
    <mergeCell ref="T54:W54"/>
    <mergeCell ref="T55:W55"/>
    <mergeCell ref="T56:U56"/>
    <mergeCell ref="T57:U57"/>
    <mergeCell ref="T58:U58"/>
    <mergeCell ref="K19:W19"/>
    <mergeCell ref="K20:W20"/>
    <mergeCell ref="C51:W51"/>
    <mergeCell ref="C52:W52"/>
    <mergeCell ref="K12:W12"/>
    <mergeCell ref="K13:W13"/>
    <mergeCell ref="C14:E15"/>
    <mergeCell ref="K14:W14"/>
    <mergeCell ref="K15:W15"/>
    <mergeCell ref="K16:W16"/>
    <mergeCell ref="C3:W4"/>
    <mergeCell ref="C6:W6"/>
    <mergeCell ref="K8:W8"/>
    <mergeCell ref="K9:W9"/>
    <mergeCell ref="C10:E11"/>
    <mergeCell ref="K10:W10"/>
    <mergeCell ref="K11:W11"/>
    <mergeCell ref="K17:W17"/>
    <mergeCell ref="K18:W18"/>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A3996-20FB-4322-AEF9-DE87463ADDEC}">
  <dimension ref="B1:X189"/>
  <sheetViews>
    <sheetView showGridLines="0" tabSelected="1" topLeftCell="A66" zoomScale="90" zoomScaleNormal="90" workbookViewId="0">
      <selection activeCell="L77" sqref="L77:N77"/>
    </sheetView>
  </sheetViews>
  <sheetFormatPr defaultColWidth="9.36328125" defaultRowHeight="14.5"/>
  <cols>
    <col min="1" max="1" width="9.36328125" style="1"/>
    <col min="2" max="2" width="3.453125" style="1" customWidth="1"/>
    <col min="3" max="3" width="37.6328125" style="1" customWidth="1"/>
    <col min="4" max="6" width="9.36328125" style="1"/>
    <col min="7" max="7" width="13.6328125" style="1" bestFit="1" customWidth="1"/>
    <col min="8" max="13" width="9.36328125" style="1"/>
    <col min="14" max="14" width="10.453125" style="1" customWidth="1"/>
    <col min="15" max="15" width="4" style="1" customWidth="1"/>
    <col min="16" max="16" width="12.36328125" style="1" bestFit="1" customWidth="1"/>
    <col min="17" max="17" width="16" style="1" customWidth="1"/>
    <col min="18" max="18" width="15.36328125" style="1" bestFit="1" customWidth="1"/>
    <col min="19" max="20" width="14.36328125" style="1" bestFit="1" customWidth="1"/>
    <col min="21" max="21" width="13.6328125" style="1" bestFit="1" customWidth="1"/>
    <col min="22" max="22" width="17.36328125" style="1" customWidth="1"/>
    <col min="23" max="23" width="10.54296875" style="1" bestFit="1" customWidth="1"/>
    <col min="24" max="24" width="11.54296875" style="1" bestFit="1" customWidth="1"/>
    <col min="25" max="16384" width="9.36328125" style="1"/>
  </cols>
  <sheetData>
    <row r="1" spans="2:17" ht="15" thickBot="1"/>
    <row r="2" spans="2:17" ht="15" thickBot="1">
      <c r="B2" s="3"/>
      <c r="C2" s="4"/>
      <c r="D2" s="4"/>
      <c r="E2" s="4"/>
      <c r="F2" s="4"/>
      <c r="G2" s="4"/>
      <c r="H2" s="4"/>
      <c r="I2" s="4"/>
      <c r="J2" s="4"/>
      <c r="K2" s="4"/>
      <c r="L2" s="4"/>
      <c r="M2" s="4"/>
      <c r="N2" s="4"/>
      <c r="O2" s="5"/>
    </row>
    <row r="3" spans="2:17" ht="20.25" customHeight="1">
      <c r="B3" s="7"/>
      <c r="C3" s="249" t="s">
        <v>0</v>
      </c>
      <c r="D3" s="484"/>
      <c r="E3" s="484"/>
      <c r="F3" s="484"/>
      <c r="G3" s="484"/>
      <c r="H3" s="484"/>
      <c r="I3" s="484"/>
      <c r="J3" s="484"/>
      <c r="K3" s="484"/>
      <c r="L3" s="484"/>
      <c r="M3" s="484"/>
      <c r="N3" s="485"/>
      <c r="O3" s="2"/>
    </row>
    <row r="4" spans="2:17" ht="20.25" customHeight="1" thickBot="1">
      <c r="B4" s="7"/>
      <c r="C4" s="486"/>
      <c r="D4" s="487"/>
      <c r="E4" s="487"/>
      <c r="F4" s="487"/>
      <c r="G4" s="487"/>
      <c r="H4" s="487"/>
      <c r="I4" s="487"/>
      <c r="J4" s="487"/>
      <c r="K4" s="487"/>
      <c r="L4" s="487"/>
      <c r="M4" s="487"/>
      <c r="N4" s="488"/>
      <c r="O4" s="2"/>
    </row>
    <row r="5" spans="2:17" ht="15" thickBot="1">
      <c r="B5" s="7"/>
      <c r="C5" s="9"/>
      <c r="D5" s="9"/>
      <c r="E5" s="9"/>
      <c r="F5" s="9"/>
      <c r="G5" s="9"/>
      <c r="H5" s="9"/>
      <c r="I5" s="9"/>
      <c r="J5" s="9"/>
      <c r="K5" s="9"/>
      <c r="L5" s="9"/>
      <c r="M5" s="9"/>
      <c r="N5" s="9"/>
      <c r="O5" s="2"/>
    </row>
    <row r="6" spans="2:17" ht="15" thickBot="1">
      <c r="B6" s="7"/>
      <c r="C6" s="255" t="s">
        <v>271</v>
      </c>
      <c r="D6" s="256"/>
      <c r="E6" s="256"/>
      <c r="F6" s="256"/>
      <c r="G6" s="256"/>
      <c r="H6" s="256"/>
      <c r="I6" s="256"/>
      <c r="J6" s="256"/>
      <c r="K6" s="256"/>
      <c r="L6" s="256"/>
      <c r="M6" s="256"/>
      <c r="N6" s="257"/>
      <c r="O6" s="2"/>
    </row>
    <row r="7" spans="2:17" ht="15" thickBot="1">
      <c r="B7" s="7"/>
      <c r="C7" s="9"/>
      <c r="D7" s="9"/>
      <c r="E7" s="9"/>
      <c r="F7" s="9"/>
      <c r="G7" s="9"/>
      <c r="H7" s="9"/>
      <c r="I7" s="9"/>
      <c r="J7" s="9"/>
      <c r="K7" s="9"/>
      <c r="L7" s="9"/>
      <c r="M7" s="9"/>
      <c r="N7" s="9"/>
      <c r="O7" s="2"/>
    </row>
    <row r="8" spans="2:17">
      <c r="B8" s="7"/>
      <c r="C8" s="10" t="s">
        <v>272</v>
      </c>
      <c r="D8" s="11"/>
      <c r="E8" s="11"/>
      <c r="F8" s="11"/>
      <c r="G8" s="11"/>
      <c r="H8" s="11"/>
      <c r="I8" s="211"/>
      <c r="J8" s="489">
        <v>45971</v>
      </c>
      <c r="K8" s="489"/>
      <c r="L8" s="489"/>
      <c r="M8" s="489"/>
      <c r="N8" s="490"/>
      <c r="O8" s="2"/>
    </row>
    <row r="9" spans="2:17">
      <c r="B9" s="7"/>
      <c r="C9" s="12" t="s">
        <v>273</v>
      </c>
      <c r="D9" s="13"/>
      <c r="E9" s="13"/>
      <c r="F9" s="13"/>
      <c r="G9" s="13"/>
      <c r="H9" s="13"/>
      <c r="I9" s="147"/>
      <c r="J9" s="262">
        <v>45961</v>
      </c>
      <c r="K9" s="262"/>
      <c r="L9" s="262"/>
      <c r="M9" s="262"/>
      <c r="N9" s="263"/>
      <c r="O9" s="2"/>
    </row>
    <row r="10" spans="2:17">
      <c r="B10" s="7"/>
      <c r="C10" s="264" t="s">
        <v>4</v>
      </c>
      <c r="D10" s="265"/>
      <c r="E10" s="266"/>
      <c r="F10" s="16" t="s">
        <v>274</v>
      </c>
      <c r="G10" s="13"/>
      <c r="H10" s="13"/>
      <c r="I10" s="147"/>
      <c r="J10" s="262">
        <v>45869</v>
      </c>
      <c r="K10" s="262"/>
      <c r="L10" s="262"/>
      <c r="M10" s="262"/>
      <c r="N10" s="263"/>
      <c r="O10" s="2"/>
      <c r="Q10" s="212"/>
    </row>
    <row r="11" spans="2:17">
      <c r="B11" s="7"/>
      <c r="C11" s="267"/>
      <c r="D11" s="268"/>
      <c r="E11" s="491"/>
      <c r="F11" s="19" t="s">
        <v>275</v>
      </c>
      <c r="G11" s="13"/>
      <c r="H11" s="13"/>
      <c r="I11" s="147"/>
      <c r="J11" s="262">
        <f>J9</f>
        <v>45961</v>
      </c>
      <c r="K11" s="262"/>
      <c r="L11" s="262"/>
      <c r="M11" s="262"/>
      <c r="N11" s="263"/>
      <c r="O11" s="2"/>
    </row>
    <row r="12" spans="2:17">
      <c r="B12" s="7"/>
      <c r="C12" s="213" t="s">
        <v>276</v>
      </c>
      <c r="D12" s="20"/>
      <c r="E12" s="15"/>
      <c r="F12" s="22"/>
      <c r="G12" s="13"/>
      <c r="H12" s="13"/>
      <c r="I12" s="147"/>
      <c r="J12" s="502">
        <f>J11-J10</f>
        <v>92</v>
      </c>
      <c r="K12" s="502"/>
      <c r="L12" s="502"/>
      <c r="M12" s="502"/>
      <c r="N12" s="503"/>
      <c r="O12" s="2"/>
    </row>
    <row r="13" spans="2:17">
      <c r="B13" s="7"/>
      <c r="C13" s="264" t="s">
        <v>277</v>
      </c>
      <c r="D13" s="265"/>
      <c r="E13" s="266"/>
      <c r="F13" s="16" t="s">
        <v>278</v>
      </c>
      <c r="G13" s="22"/>
      <c r="H13" s="22"/>
      <c r="I13" s="150"/>
      <c r="J13" s="504" t="s">
        <v>72</v>
      </c>
      <c r="K13" s="504"/>
      <c r="L13" s="504"/>
      <c r="M13" s="504"/>
      <c r="N13" s="505"/>
      <c r="O13" s="2"/>
    </row>
    <row r="14" spans="2:17">
      <c r="B14" s="7"/>
      <c r="C14" s="267"/>
      <c r="D14" s="268"/>
      <c r="E14" s="269"/>
      <c r="F14" s="16" t="s">
        <v>279</v>
      </c>
      <c r="G14" s="22"/>
      <c r="H14" s="22"/>
      <c r="I14" s="150"/>
      <c r="J14" s="504" t="s">
        <v>72</v>
      </c>
      <c r="K14" s="504"/>
      <c r="L14" s="504"/>
      <c r="M14" s="504"/>
      <c r="N14" s="505"/>
      <c r="O14" s="2"/>
    </row>
    <row r="15" spans="2:17">
      <c r="B15" s="7"/>
      <c r="C15" s="17" t="s">
        <v>280</v>
      </c>
      <c r="D15" s="18"/>
      <c r="E15" s="18"/>
      <c r="F15" s="22"/>
      <c r="G15" s="22"/>
      <c r="H15" s="22"/>
      <c r="I15" s="150"/>
      <c r="J15" s="262">
        <v>52366</v>
      </c>
      <c r="K15" s="262"/>
      <c r="L15" s="262"/>
      <c r="M15" s="262"/>
      <c r="N15" s="263"/>
      <c r="O15" s="2"/>
    </row>
    <row r="16" spans="2:17">
      <c r="B16" s="7"/>
      <c r="C16" s="17" t="s">
        <v>281</v>
      </c>
      <c r="D16" s="18"/>
      <c r="E16" s="18"/>
      <c r="F16" s="22"/>
      <c r="G16" s="22"/>
      <c r="H16" s="22"/>
      <c r="I16" s="150"/>
      <c r="J16" s="506">
        <v>7.0169999999999996E-2</v>
      </c>
      <c r="K16" s="506"/>
      <c r="L16" s="506"/>
      <c r="M16" s="506"/>
      <c r="N16" s="507"/>
      <c r="O16" s="2"/>
    </row>
    <row r="17" spans="2:24">
      <c r="B17" s="7"/>
      <c r="C17" s="264" t="s">
        <v>282</v>
      </c>
      <c r="D17" s="265"/>
      <c r="E17" s="266"/>
      <c r="F17" s="22" t="s">
        <v>283</v>
      </c>
      <c r="G17" s="22"/>
      <c r="H17" s="22"/>
      <c r="I17" s="150"/>
      <c r="J17" s="492">
        <v>45884</v>
      </c>
      <c r="K17" s="493"/>
      <c r="L17" s="493"/>
      <c r="M17" s="493"/>
      <c r="N17" s="494"/>
      <c r="O17" s="2"/>
    </row>
    <row r="18" spans="2:24">
      <c r="B18" s="7"/>
      <c r="C18" s="267"/>
      <c r="D18" s="268"/>
      <c r="E18" s="269"/>
      <c r="F18" s="22" t="s">
        <v>284</v>
      </c>
      <c r="G18" s="22"/>
      <c r="H18" s="22"/>
      <c r="I18" s="150"/>
      <c r="J18" s="492">
        <v>45978</v>
      </c>
      <c r="K18" s="493"/>
      <c r="L18" s="493"/>
      <c r="M18" s="493"/>
      <c r="N18" s="494"/>
      <c r="O18" s="2"/>
    </row>
    <row r="19" spans="2:24">
      <c r="B19" s="7"/>
      <c r="C19" s="23" t="s">
        <v>285</v>
      </c>
      <c r="D19" s="22"/>
      <c r="E19" s="22"/>
      <c r="F19" s="22"/>
      <c r="G19" s="22"/>
      <c r="H19" s="22"/>
      <c r="I19" s="150"/>
      <c r="J19" s="495" t="s">
        <v>17</v>
      </c>
      <c r="K19" s="495"/>
      <c r="L19" s="495"/>
      <c r="M19" s="495"/>
      <c r="N19" s="496"/>
      <c r="O19" s="2"/>
    </row>
    <row r="20" spans="2:24" ht="15" thickBot="1">
      <c r="B20" s="7"/>
      <c r="C20" s="83" t="s">
        <v>286</v>
      </c>
      <c r="D20" s="29"/>
      <c r="E20" s="29"/>
      <c r="F20" s="29"/>
      <c r="G20" s="29"/>
      <c r="H20" s="29"/>
      <c r="I20" s="29"/>
      <c r="J20" s="497" t="s">
        <v>287</v>
      </c>
      <c r="K20" s="497"/>
      <c r="L20" s="497"/>
      <c r="M20" s="497"/>
      <c r="N20" s="498"/>
      <c r="O20" s="2"/>
    </row>
    <row r="21" spans="2:24" ht="15" thickBot="1">
      <c r="B21" s="7"/>
      <c r="C21" s="7"/>
      <c r="D21" s="9"/>
      <c r="E21" s="9"/>
      <c r="F21" s="9"/>
      <c r="G21" s="9"/>
      <c r="H21" s="9"/>
      <c r="I21" s="9"/>
      <c r="J21" s="9"/>
      <c r="K21" s="9"/>
      <c r="L21" s="9"/>
      <c r="M21" s="9"/>
      <c r="N21" s="2"/>
      <c r="O21" s="2"/>
    </row>
    <row r="22" spans="2:24">
      <c r="B22" s="7"/>
      <c r="C22" s="499" t="s">
        <v>288</v>
      </c>
      <c r="D22" s="500"/>
      <c r="E22" s="500"/>
      <c r="F22" s="500"/>
      <c r="G22" s="500"/>
      <c r="H22" s="500"/>
      <c r="I22" s="500"/>
      <c r="J22" s="500"/>
      <c r="K22" s="500"/>
      <c r="L22" s="500"/>
      <c r="M22" s="500"/>
      <c r="N22" s="501"/>
      <c r="O22" s="2"/>
    </row>
    <row r="23" spans="2:24">
      <c r="B23" s="7"/>
      <c r="C23" s="510" t="s">
        <v>289</v>
      </c>
      <c r="D23" s="511"/>
      <c r="E23" s="511"/>
      <c r="F23" s="511"/>
      <c r="G23" s="511"/>
      <c r="H23" s="511"/>
      <c r="I23" s="511"/>
      <c r="J23" s="511"/>
      <c r="K23" s="511"/>
      <c r="L23" s="511"/>
      <c r="M23" s="511"/>
      <c r="N23" s="512"/>
      <c r="O23" s="2"/>
    </row>
    <row r="24" spans="2:24">
      <c r="B24" s="7"/>
      <c r="C24" s="124" t="s">
        <v>290</v>
      </c>
      <c r="D24" s="214"/>
      <c r="E24" s="214"/>
      <c r="F24" s="214"/>
      <c r="G24" s="214"/>
      <c r="H24" s="214"/>
      <c r="I24" s="215"/>
      <c r="J24" s="516">
        <v>1331115492.1994994</v>
      </c>
      <c r="K24" s="516"/>
      <c r="L24" s="516"/>
      <c r="M24" s="516"/>
      <c r="N24" s="517"/>
      <c r="O24" s="2"/>
      <c r="R24" s="26"/>
    </row>
    <row r="25" spans="2:24">
      <c r="B25" s="7"/>
      <c r="C25" s="510" t="s">
        <v>291</v>
      </c>
      <c r="D25" s="511"/>
      <c r="E25" s="511"/>
      <c r="F25" s="511"/>
      <c r="G25" s="511"/>
      <c r="H25" s="511"/>
      <c r="I25" s="511"/>
      <c r="J25" s="511"/>
      <c r="K25" s="511"/>
      <c r="L25" s="511"/>
      <c r="M25" s="511"/>
      <c r="N25" s="512"/>
      <c r="O25" s="2"/>
    </row>
    <row r="26" spans="2:24">
      <c r="B26" s="7"/>
      <c r="C26" s="125" t="s">
        <v>292</v>
      </c>
      <c r="D26" s="216"/>
      <c r="E26" s="216"/>
      <c r="F26" s="216"/>
      <c r="G26" s="216"/>
      <c r="H26" s="216"/>
      <c r="I26" s="216"/>
      <c r="J26" s="513">
        <f>SUM(J27:M28)</f>
        <v>204050066.62</v>
      </c>
      <c r="K26" s="514"/>
      <c r="L26" s="514"/>
      <c r="M26" s="514"/>
      <c r="N26" s="515"/>
      <c r="O26" s="2"/>
      <c r="S26" s="6"/>
      <c r="T26" s="26"/>
    </row>
    <row r="27" spans="2:24">
      <c r="B27" s="7"/>
      <c r="C27" s="217" t="s">
        <v>293</v>
      </c>
      <c r="D27" s="216"/>
      <c r="E27" s="216"/>
      <c r="F27" s="216"/>
      <c r="G27" s="216"/>
      <c r="H27" s="216"/>
      <c r="I27" s="216"/>
      <c r="J27" s="392">
        <v>0</v>
      </c>
      <c r="K27" s="393"/>
      <c r="L27" s="393"/>
      <c r="M27" s="393"/>
      <c r="N27" s="218"/>
      <c r="O27" s="2"/>
      <c r="Q27" s="26"/>
      <c r="R27" s="6"/>
      <c r="S27" s="26"/>
    </row>
    <row r="28" spans="2:24">
      <c r="B28" s="7"/>
      <c r="C28" s="217" t="s">
        <v>294</v>
      </c>
      <c r="D28" s="216"/>
      <c r="E28" s="216"/>
      <c r="F28" s="216"/>
      <c r="G28" s="216"/>
      <c r="H28" s="216"/>
      <c r="I28" s="216"/>
      <c r="J28" s="392">
        <v>204050066.62</v>
      </c>
      <c r="K28" s="393"/>
      <c r="L28" s="393"/>
      <c r="M28" s="393"/>
      <c r="N28" s="218"/>
      <c r="O28" s="2"/>
      <c r="Q28" s="6"/>
      <c r="R28" s="6"/>
      <c r="S28" s="26"/>
    </row>
    <row r="29" spans="2:24">
      <c r="B29" s="7"/>
      <c r="C29" s="125" t="s">
        <v>295</v>
      </c>
      <c r="D29" s="216"/>
      <c r="E29" s="216"/>
      <c r="F29" s="216"/>
      <c r="G29" s="216"/>
      <c r="H29" s="216"/>
      <c r="I29" s="216"/>
      <c r="J29" s="508">
        <f>SUM(J30:M31)</f>
        <v>10114162.507999999</v>
      </c>
      <c r="K29" s="509"/>
      <c r="L29" s="509"/>
      <c r="M29" s="509"/>
      <c r="N29" s="509"/>
      <c r="O29" s="219"/>
    </row>
    <row r="30" spans="2:24">
      <c r="B30" s="7"/>
      <c r="C30" s="217" t="s">
        <v>296</v>
      </c>
      <c r="D30" s="216"/>
      <c r="E30" s="216"/>
      <c r="F30" s="216"/>
      <c r="G30" s="216"/>
      <c r="H30" s="216"/>
      <c r="I30" s="216"/>
      <c r="J30" s="508">
        <v>9980237.5800000001</v>
      </c>
      <c r="K30" s="509"/>
      <c r="L30" s="509"/>
      <c r="M30" s="509"/>
      <c r="N30" s="218"/>
      <c r="O30" s="2"/>
      <c r="Q30" s="26"/>
      <c r="R30" s="8"/>
      <c r="T30" s="8"/>
      <c r="V30" s="95"/>
      <c r="W30" s="95"/>
      <c r="X30" s="95"/>
    </row>
    <row r="31" spans="2:24">
      <c r="B31" s="7"/>
      <c r="C31" s="217" t="s">
        <v>297</v>
      </c>
      <c r="D31" s="216"/>
      <c r="E31" s="216"/>
      <c r="F31" s="216"/>
      <c r="G31" s="216"/>
      <c r="H31" s="216"/>
      <c r="I31" s="216"/>
      <c r="J31" s="402">
        <v>133924.92799999999</v>
      </c>
      <c r="K31" s="403"/>
      <c r="L31" s="403"/>
      <c r="M31" s="403"/>
      <c r="N31" s="220"/>
      <c r="O31" s="2"/>
      <c r="Q31" s="107"/>
      <c r="R31" s="8"/>
      <c r="T31" s="8"/>
    </row>
    <row r="32" spans="2:24">
      <c r="B32" s="7"/>
      <c r="C32" s="510" t="s">
        <v>298</v>
      </c>
      <c r="D32" s="511"/>
      <c r="E32" s="511"/>
      <c r="F32" s="511"/>
      <c r="G32" s="511"/>
      <c r="H32" s="511"/>
      <c r="I32" s="511"/>
      <c r="J32" s="511"/>
      <c r="K32" s="511"/>
      <c r="L32" s="511"/>
      <c r="M32" s="511"/>
      <c r="N32" s="512"/>
      <c r="O32" s="2"/>
      <c r="S32" s="26"/>
      <c r="T32" s="8"/>
    </row>
    <row r="33" spans="2:22">
      <c r="B33" s="7"/>
      <c r="C33" s="124" t="s">
        <v>299</v>
      </c>
      <c r="D33" s="214"/>
      <c r="E33" s="214"/>
      <c r="F33" s="214"/>
      <c r="G33" s="214"/>
      <c r="H33" s="214"/>
      <c r="I33" s="214"/>
      <c r="J33" s="513">
        <f>SUM(J34:M36)</f>
        <v>57858737.070000023</v>
      </c>
      <c r="K33" s="514"/>
      <c r="L33" s="514"/>
      <c r="M33" s="514"/>
      <c r="N33" s="515"/>
      <c r="O33" s="2"/>
      <c r="S33" s="26"/>
      <c r="U33" s="95"/>
    </row>
    <row r="34" spans="2:22">
      <c r="B34" s="7"/>
      <c r="C34" s="73" t="s">
        <v>300</v>
      </c>
      <c r="D34" s="216"/>
      <c r="E34" s="216"/>
      <c r="F34" s="216"/>
      <c r="G34" s="216"/>
      <c r="H34" s="216"/>
      <c r="I34" s="221"/>
      <c r="J34" s="508">
        <v>12499936.529999997</v>
      </c>
      <c r="K34" s="509"/>
      <c r="L34" s="509"/>
      <c r="M34" s="509"/>
      <c r="N34" s="218"/>
      <c r="O34" s="2"/>
      <c r="S34" s="26"/>
    </row>
    <row r="35" spans="2:22">
      <c r="B35" s="7"/>
      <c r="C35" s="73" t="s">
        <v>301</v>
      </c>
      <c r="D35" s="216"/>
      <c r="E35" s="216"/>
      <c r="F35" s="216"/>
      <c r="G35" s="216"/>
      <c r="H35" s="216"/>
      <c r="I35" s="221"/>
      <c r="J35" s="509">
        <v>45358800.540000021</v>
      </c>
      <c r="K35" s="509"/>
      <c r="L35" s="509"/>
      <c r="M35" s="509"/>
      <c r="N35" s="222"/>
      <c r="O35" s="2"/>
      <c r="Q35" s="26"/>
      <c r="S35" s="6"/>
      <c r="T35" s="8"/>
      <c r="V35" s="6"/>
    </row>
    <row r="36" spans="2:22">
      <c r="B36" s="7"/>
      <c r="C36" s="115" t="s">
        <v>302</v>
      </c>
      <c r="D36" s="223"/>
      <c r="E36" s="223"/>
      <c r="F36" s="223"/>
      <c r="G36" s="223"/>
      <c r="H36" s="223"/>
      <c r="I36" s="224"/>
      <c r="J36" s="509">
        <v>0</v>
      </c>
      <c r="K36" s="509"/>
      <c r="L36" s="509"/>
      <c r="M36" s="509"/>
      <c r="N36" s="222"/>
      <c r="O36" s="2"/>
      <c r="Q36" s="6"/>
      <c r="R36" s="6"/>
      <c r="S36" s="6"/>
      <c r="T36" s="6"/>
    </row>
    <row r="37" spans="2:22">
      <c r="B37" s="7"/>
      <c r="C37" s="510" t="s">
        <v>303</v>
      </c>
      <c r="D37" s="511"/>
      <c r="E37" s="511"/>
      <c r="F37" s="511"/>
      <c r="G37" s="511"/>
      <c r="H37" s="511"/>
      <c r="I37" s="511"/>
      <c r="J37" s="511"/>
      <c r="K37" s="511"/>
      <c r="L37" s="511"/>
      <c r="M37" s="511"/>
      <c r="N37" s="512"/>
      <c r="O37" s="2"/>
    </row>
    <row r="38" spans="2:22">
      <c r="B38" s="7"/>
      <c r="C38" s="124" t="s">
        <v>304</v>
      </c>
      <c r="D38" s="214"/>
      <c r="E38" s="214"/>
      <c r="F38" s="214"/>
      <c r="G38" s="214"/>
      <c r="H38" s="214"/>
      <c r="I38" s="215"/>
      <c r="J38" s="514">
        <f>SUM(J39:M41)</f>
        <v>57264074.408500008</v>
      </c>
      <c r="K38" s="514"/>
      <c r="L38" s="514"/>
      <c r="M38" s="514"/>
      <c r="N38" s="515"/>
      <c r="O38" s="2"/>
      <c r="P38" s="6"/>
      <c r="Q38" s="6"/>
      <c r="R38" s="8"/>
      <c r="U38" s="95"/>
      <c r="V38" s="6"/>
    </row>
    <row r="39" spans="2:22">
      <c r="B39" s="7"/>
      <c r="C39" s="73" t="s">
        <v>305</v>
      </c>
      <c r="D39" s="216"/>
      <c r="E39" s="216"/>
      <c r="F39" s="216"/>
      <c r="G39" s="216"/>
      <c r="H39" s="216"/>
      <c r="I39" s="221"/>
      <c r="J39" s="509">
        <v>14077994.848499998</v>
      </c>
      <c r="K39" s="509"/>
      <c r="L39" s="509"/>
      <c r="M39" s="509"/>
      <c r="N39" s="218"/>
      <c r="O39" s="2"/>
    </row>
    <row r="40" spans="2:22">
      <c r="B40" s="7"/>
      <c r="C40" s="73" t="s">
        <v>306</v>
      </c>
      <c r="D40" s="216"/>
      <c r="E40" s="216"/>
      <c r="F40" s="216"/>
      <c r="G40" s="216"/>
      <c r="H40" s="216"/>
      <c r="I40" s="221"/>
      <c r="J40" s="393">
        <v>43186079.56000001</v>
      </c>
      <c r="K40" s="393"/>
      <c r="L40" s="393"/>
      <c r="M40" s="393"/>
      <c r="N40" s="225"/>
      <c r="O40" s="2"/>
      <c r="Q40" s="6"/>
      <c r="V40" s="6"/>
    </row>
    <row r="41" spans="2:22">
      <c r="B41" s="7"/>
      <c r="C41" s="115" t="s">
        <v>307</v>
      </c>
      <c r="D41" s="223"/>
      <c r="E41" s="223"/>
      <c r="F41" s="223"/>
      <c r="G41" s="223"/>
      <c r="H41" s="223"/>
      <c r="I41" s="224"/>
      <c r="J41" s="393">
        <v>0</v>
      </c>
      <c r="K41" s="393"/>
      <c r="L41" s="393"/>
      <c r="M41" s="393"/>
      <c r="N41" s="225"/>
      <c r="O41" s="2"/>
    </row>
    <row r="42" spans="2:22">
      <c r="B42" s="7"/>
      <c r="C42" s="125" t="s">
        <v>308</v>
      </c>
      <c r="D42" s="216"/>
      <c r="E42" s="216"/>
      <c r="F42" s="216"/>
      <c r="G42" s="216"/>
      <c r="H42" s="216"/>
      <c r="I42" s="221"/>
      <c r="J42" s="518">
        <v>21875953.920000002</v>
      </c>
      <c r="K42" s="519"/>
      <c r="L42" s="519"/>
      <c r="M42" s="519"/>
      <c r="N42" s="520"/>
      <c r="O42" s="2"/>
      <c r="P42" s="226"/>
      <c r="Q42" s="6"/>
      <c r="V42" s="6"/>
    </row>
    <row r="43" spans="2:22">
      <c r="B43" s="7"/>
      <c r="C43" s="149" t="s">
        <v>309</v>
      </c>
      <c r="D43" s="227"/>
      <c r="E43" s="227"/>
      <c r="F43" s="227"/>
      <c r="G43" s="227"/>
      <c r="H43" s="227"/>
      <c r="I43" s="228"/>
      <c r="J43" s="518">
        <v>0</v>
      </c>
      <c r="K43" s="519"/>
      <c r="L43" s="519"/>
      <c r="M43" s="519"/>
      <c r="N43" s="520"/>
      <c r="O43" s="2"/>
    </row>
    <row r="44" spans="2:22">
      <c r="B44" s="7"/>
      <c r="C44" s="149" t="s">
        <v>310</v>
      </c>
      <c r="D44" s="227"/>
      <c r="E44" s="227"/>
      <c r="F44" s="227"/>
      <c r="G44" s="227"/>
      <c r="H44" s="227"/>
      <c r="I44" s="228"/>
      <c r="J44" s="357">
        <v>0</v>
      </c>
      <c r="K44" s="358"/>
      <c r="L44" s="358"/>
      <c r="M44" s="358"/>
      <c r="N44" s="521"/>
      <c r="O44" s="2"/>
    </row>
    <row r="45" spans="2:22" ht="14" customHeight="1">
      <c r="B45" s="7"/>
      <c r="C45" s="124" t="s">
        <v>311</v>
      </c>
      <c r="D45" s="214"/>
      <c r="E45" s="214"/>
      <c r="F45" s="214"/>
      <c r="G45" s="214"/>
      <c r="H45" s="214"/>
      <c r="I45" s="214"/>
      <c r="J45" s="513">
        <f>SUM(J46:M47)</f>
        <v>205438241.57000002</v>
      </c>
      <c r="K45" s="514"/>
      <c r="L45" s="514"/>
      <c r="M45" s="514"/>
      <c r="N45" s="515"/>
      <c r="O45" s="2"/>
      <c r="P45" s="26"/>
    </row>
    <row r="46" spans="2:22">
      <c r="B46" s="7"/>
      <c r="C46" s="217" t="s">
        <v>124</v>
      </c>
      <c r="D46" s="216"/>
      <c r="E46" s="216"/>
      <c r="F46" s="216"/>
      <c r="G46" s="216"/>
      <c r="H46" s="216"/>
      <c r="I46" s="216"/>
      <c r="J46" s="522">
        <v>0</v>
      </c>
      <c r="K46" s="523"/>
      <c r="L46" s="523"/>
      <c r="M46" s="523"/>
      <c r="N46" s="229"/>
      <c r="O46" s="2"/>
    </row>
    <row r="47" spans="2:22">
      <c r="B47" s="7"/>
      <c r="C47" s="217" t="s">
        <v>125</v>
      </c>
      <c r="D47" s="216"/>
      <c r="E47" s="216"/>
      <c r="F47" s="216"/>
      <c r="G47" s="216"/>
      <c r="H47" s="216"/>
      <c r="I47" s="221"/>
      <c r="J47" s="392">
        <f>SUM(J48:M50)</f>
        <v>205438241.57000002</v>
      </c>
      <c r="K47" s="393"/>
      <c r="L47" s="393"/>
      <c r="M47" s="393"/>
      <c r="N47" s="526"/>
      <c r="O47" s="2"/>
      <c r="Q47" s="26"/>
    </row>
    <row r="48" spans="2:22">
      <c r="B48" s="7"/>
      <c r="C48" s="230" t="s">
        <v>312</v>
      </c>
      <c r="D48" s="216"/>
      <c r="E48" s="216"/>
      <c r="F48" s="216"/>
      <c r="G48" s="216"/>
      <c r="H48" s="216"/>
      <c r="I48" s="221"/>
      <c r="J48" s="523">
        <v>195837278.60000002</v>
      </c>
      <c r="K48" s="523"/>
      <c r="L48" s="523"/>
      <c r="M48" s="523"/>
      <c r="N48" s="229"/>
      <c r="O48" s="2"/>
    </row>
    <row r="49" spans="2:22">
      <c r="B49" s="7"/>
      <c r="C49" s="230" t="s">
        <v>313</v>
      </c>
      <c r="D49" s="216"/>
      <c r="E49" s="216"/>
      <c r="F49" s="216"/>
      <c r="G49" s="216"/>
      <c r="H49" s="216"/>
      <c r="I49" s="221"/>
      <c r="J49" s="523">
        <v>0</v>
      </c>
      <c r="K49" s="523"/>
      <c r="L49" s="523"/>
      <c r="M49" s="523"/>
      <c r="N49" s="229"/>
      <c r="O49" s="2"/>
      <c r="Q49" s="6"/>
    </row>
    <row r="50" spans="2:22">
      <c r="B50" s="7"/>
      <c r="C50" s="231" t="s">
        <v>314</v>
      </c>
      <c r="D50" s="223"/>
      <c r="E50" s="223"/>
      <c r="F50" s="223"/>
      <c r="G50" s="223"/>
      <c r="H50" s="223"/>
      <c r="I50" s="224"/>
      <c r="J50" s="527">
        <v>9600962.9700000007</v>
      </c>
      <c r="K50" s="528"/>
      <c r="L50" s="528"/>
      <c r="M50" s="528"/>
      <c r="N50" s="232"/>
      <c r="O50" s="2"/>
      <c r="Q50" s="6"/>
    </row>
    <row r="51" spans="2:22">
      <c r="B51" s="7"/>
      <c r="C51" s="529" t="s">
        <v>315</v>
      </c>
      <c r="D51" s="345"/>
      <c r="E51" s="345"/>
      <c r="F51" s="345"/>
      <c r="G51" s="345"/>
      <c r="H51" s="345"/>
      <c r="I51" s="345"/>
      <c r="J51" s="345"/>
      <c r="K51" s="345"/>
      <c r="L51" s="345"/>
      <c r="M51" s="345"/>
      <c r="N51" s="347"/>
      <c r="O51" s="2"/>
    </row>
    <row r="52" spans="2:22" ht="15" thickBot="1">
      <c r="B52" s="7"/>
      <c r="C52" s="177" t="s">
        <v>316</v>
      </c>
      <c r="D52" s="233"/>
      <c r="E52" s="233"/>
      <c r="F52" s="233"/>
      <c r="G52" s="233"/>
      <c r="H52" s="233"/>
      <c r="I52" s="234"/>
      <c r="J52" s="530">
        <v>1305446133.7194996</v>
      </c>
      <c r="K52" s="530"/>
      <c r="L52" s="530"/>
      <c r="M52" s="530"/>
      <c r="N52" s="531"/>
      <c r="O52" s="2"/>
      <c r="Q52" s="26"/>
    </row>
    <row r="53" spans="2:22" ht="15" thickBot="1">
      <c r="B53" s="7"/>
      <c r="C53" s="235"/>
      <c r="D53" s="235"/>
      <c r="E53" s="235"/>
      <c r="F53" s="235"/>
      <c r="G53" s="235"/>
      <c r="H53" s="235"/>
      <c r="I53" s="235"/>
      <c r="J53" s="235"/>
      <c r="K53" s="235"/>
      <c r="L53" s="235"/>
      <c r="M53" s="235"/>
      <c r="N53" s="235"/>
      <c r="O53" s="2"/>
    </row>
    <row r="54" spans="2:22">
      <c r="B54" s="7"/>
      <c r="C54" s="499" t="s">
        <v>317</v>
      </c>
      <c r="D54" s="500"/>
      <c r="E54" s="500"/>
      <c r="F54" s="500"/>
      <c r="G54" s="500"/>
      <c r="H54" s="500"/>
      <c r="I54" s="500"/>
      <c r="J54" s="500"/>
      <c r="K54" s="500"/>
      <c r="L54" s="500"/>
      <c r="M54" s="500"/>
      <c r="N54" s="501"/>
      <c r="O54" s="2"/>
      <c r="Q54" s="208"/>
      <c r="V54" s="95"/>
    </row>
    <row r="55" spans="2:22">
      <c r="B55" s="7"/>
      <c r="C55" s="236"/>
      <c r="D55" s="181"/>
      <c r="E55" s="181"/>
      <c r="F55" s="181"/>
      <c r="G55" s="181"/>
      <c r="H55" s="181"/>
      <c r="I55" s="460" t="s">
        <v>318</v>
      </c>
      <c r="J55" s="464"/>
      <c r="K55" s="461"/>
      <c r="L55" s="460" t="s">
        <v>319</v>
      </c>
      <c r="M55" s="464"/>
      <c r="N55" s="524"/>
      <c r="O55" s="2"/>
    </row>
    <row r="56" spans="2:22">
      <c r="B56" s="7"/>
      <c r="C56" s="149" t="s">
        <v>320</v>
      </c>
      <c r="D56" s="196"/>
      <c r="E56" s="196"/>
      <c r="F56" s="196"/>
      <c r="G56" s="196"/>
      <c r="H56" s="196"/>
      <c r="I56" s="357">
        <f>I66-I57-I61</f>
        <v>1243903110.1539996</v>
      </c>
      <c r="J56" s="358"/>
      <c r="K56" s="359"/>
      <c r="L56" s="514">
        <f>L66-L57-L61</f>
        <v>1176379502.7194996</v>
      </c>
      <c r="M56" s="514"/>
      <c r="N56" s="515"/>
      <c r="O56" s="2"/>
    </row>
    <row r="57" spans="2:22">
      <c r="B57" s="7"/>
      <c r="C57" s="124" t="s">
        <v>321</v>
      </c>
      <c r="D57" s="237"/>
      <c r="E57" s="237"/>
      <c r="F57" s="237"/>
      <c r="G57" s="237"/>
      <c r="H57" s="237"/>
      <c r="I57" s="513">
        <f>SUM(I58:J60)</f>
        <v>86053041.281000018</v>
      </c>
      <c r="J57" s="514"/>
      <c r="K57" s="525"/>
      <c r="L57" s="513">
        <f>SUM(L58:M60)</f>
        <v>129066631</v>
      </c>
      <c r="M57" s="514"/>
      <c r="N57" s="515"/>
      <c r="O57" s="2"/>
      <c r="Q57" s="8"/>
      <c r="R57" s="8"/>
    </row>
    <row r="58" spans="2:22">
      <c r="B58" s="7"/>
      <c r="C58" s="73" t="s">
        <v>322</v>
      </c>
      <c r="D58" s="238"/>
      <c r="E58" s="238"/>
      <c r="F58" s="238"/>
      <c r="G58" s="238"/>
      <c r="H58" s="238"/>
      <c r="I58" s="508">
        <v>17683758.021499999</v>
      </c>
      <c r="J58" s="509"/>
      <c r="K58" s="239"/>
      <c r="L58" s="392">
        <v>67140793</v>
      </c>
      <c r="M58" s="393"/>
      <c r="N58" s="218"/>
      <c r="O58" s="2"/>
      <c r="P58" s="26"/>
    </row>
    <row r="59" spans="2:22">
      <c r="B59" s="7"/>
      <c r="C59" s="240" t="s">
        <v>323</v>
      </c>
      <c r="D59" s="238"/>
      <c r="E59" s="238"/>
      <c r="F59" s="238"/>
      <c r="G59" s="238"/>
      <c r="H59" s="238"/>
      <c r="I59" s="508">
        <v>64930788.297000006</v>
      </c>
      <c r="J59" s="509"/>
      <c r="K59" s="239"/>
      <c r="L59" s="392">
        <v>61925838</v>
      </c>
      <c r="M59" s="393"/>
      <c r="N59" s="218"/>
      <c r="O59" s="2"/>
      <c r="Q59" s="8"/>
    </row>
    <row r="60" spans="2:22">
      <c r="B60" s="7"/>
      <c r="C60" s="241" t="s">
        <v>324</v>
      </c>
      <c r="D60" s="242"/>
      <c r="E60" s="242"/>
      <c r="F60" s="242"/>
      <c r="G60" s="242"/>
      <c r="H60" s="242"/>
      <c r="I60" s="532">
        <v>3438494.9625000004</v>
      </c>
      <c r="J60" s="533"/>
      <c r="K60" s="243"/>
      <c r="L60" s="402">
        <v>0</v>
      </c>
      <c r="M60" s="403"/>
      <c r="N60" s="220"/>
      <c r="O60" s="2"/>
      <c r="P60" s="26"/>
    </row>
    <row r="61" spans="2:22">
      <c r="B61" s="7"/>
      <c r="C61" s="244" t="s">
        <v>325</v>
      </c>
      <c r="D61" s="237"/>
      <c r="E61" s="237"/>
      <c r="F61" s="237"/>
      <c r="G61" s="237"/>
      <c r="H61" s="237"/>
      <c r="I61" s="513">
        <f>SUM(I62:J65)</f>
        <v>1159340.7645</v>
      </c>
      <c r="J61" s="514"/>
      <c r="K61" s="525"/>
      <c r="L61" s="513">
        <f>SUM(L62:M65)</f>
        <v>0</v>
      </c>
      <c r="M61" s="514"/>
      <c r="N61" s="515"/>
      <c r="O61" s="2"/>
    </row>
    <row r="62" spans="2:22">
      <c r="B62" s="7"/>
      <c r="C62" s="240" t="s">
        <v>326</v>
      </c>
      <c r="D62" s="238"/>
      <c r="E62" s="238"/>
      <c r="F62" s="238"/>
      <c r="G62" s="238"/>
      <c r="H62" s="238"/>
      <c r="I62" s="508">
        <v>0</v>
      </c>
      <c r="J62" s="509"/>
      <c r="K62" s="239"/>
      <c r="L62" s="508">
        <v>0</v>
      </c>
      <c r="M62" s="509"/>
      <c r="N62" s="218"/>
      <c r="O62" s="2"/>
      <c r="Q62" s="6"/>
    </row>
    <row r="63" spans="2:22">
      <c r="B63" s="7"/>
      <c r="C63" s="240" t="s">
        <v>327</v>
      </c>
      <c r="D63" s="238"/>
      <c r="E63" s="238"/>
      <c r="F63" s="238"/>
      <c r="G63" s="238"/>
      <c r="H63" s="238"/>
      <c r="I63" s="508">
        <v>0</v>
      </c>
      <c r="J63" s="509"/>
      <c r="K63" s="239"/>
      <c r="L63" s="508">
        <v>0</v>
      </c>
      <c r="M63" s="509"/>
      <c r="N63" s="218"/>
      <c r="O63" s="2"/>
      <c r="R63" s="26"/>
    </row>
    <row r="64" spans="2:22">
      <c r="B64" s="7"/>
      <c r="C64" s="240" t="s">
        <v>328</v>
      </c>
      <c r="D64" s="238"/>
      <c r="E64" s="238"/>
      <c r="F64" s="238"/>
      <c r="G64" s="238"/>
      <c r="H64" s="238"/>
      <c r="I64" s="508">
        <v>1159340.7645</v>
      </c>
      <c r="J64" s="509"/>
      <c r="K64" s="239"/>
      <c r="L64" s="508">
        <v>0</v>
      </c>
      <c r="M64" s="509"/>
      <c r="N64" s="218"/>
      <c r="O64" s="2"/>
    </row>
    <row r="65" spans="2:17">
      <c r="B65" s="7"/>
      <c r="C65" s="241" t="s">
        <v>329</v>
      </c>
      <c r="D65" s="242"/>
      <c r="E65" s="242"/>
      <c r="F65" s="242"/>
      <c r="G65" s="242"/>
      <c r="H65" s="242"/>
      <c r="I65" s="532">
        <v>0</v>
      </c>
      <c r="J65" s="533"/>
      <c r="K65" s="243"/>
      <c r="L65" s="532">
        <v>0</v>
      </c>
      <c r="M65" s="533"/>
      <c r="N65" s="220"/>
      <c r="O65" s="2"/>
    </row>
    <row r="66" spans="2:17" ht="15" thickBot="1">
      <c r="B66" s="7"/>
      <c r="C66" s="151" t="s">
        <v>330</v>
      </c>
      <c r="D66" s="245"/>
      <c r="E66" s="245"/>
      <c r="F66" s="245"/>
      <c r="G66" s="245"/>
      <c r="H66" s="245"/>
      <c r="I66" s="543">
        <v>1331115492.1994994</v>
      </c>
      <c r="J66" s="544"/>
      <c r="K66" s="545"/>
      <c r="L66" s="543">
        <f>J52</f>
        <v>1305446133.7194996</v>
      </c>
      <c r="M66" s="544"/>
      <c r="N66" s="546"/>
      <c r="O66" s="2"/>
    </row>
    <row r="67" spans="2:17" ht="15" thickBot="1">
      <c r="B67" s="7"/>
      <c r="C67" s="235"/>
      <c r="D67" s="235"/>
      <c r="E67" s="235"/>
      <c r="F67" s="235"/>
      <c r="G67" s="235"/>
      <c r="H67" s="235"/>
      <c r="I67" s="235"/>
      <c r="J67" s="235"/>
      <c r="K67" s="235"/>
      <c r="L67" s="235"/>
      <c r="M67" s="235"/>
      <c r="N67" s="235"/>
      <c r="O67" s="2"/>
    </row>
    <row r="68" spans="2:17">
      <c r="B68" s="7"/>
      <c r="C68" s="499" t="s">
        <v>331</v>
      </c>
      <c r="D68" s="500"/>
      <c r="E68" s="500"/>
      <c r="F68" s="500"/>
      <c r="G68" s="500"/>
      <c r="H68" s="500"/>
      <c r="I68" s="500"/>
      <c r="J68" s="500"/>
      <c r="K68" s="500"/>
      <c r="L68" s="500"/>
      <c r="M68" s="500"/>
      <c r="N68" s="501"/>
      <c r="O68" s="2"/>
    </row>
    <row r="69" spans="2:17">
      <c r="B69" s="7"/>
      <c r="C69" s="246"/>
      <c r="D69" s="227"/>
      <c r="E69" s="227"/>
      <c r="F69" s="460" t="s">
        <v>166</v>
      </c>
      <c r="G69" s="464"/>
      <c r="H69" s="461"/>
      <c r="I69" s="460" t="s">
        <v>332</v>
      </c>
      <c r="J69" s="464"/>
      <c r="K69" s="461"/>
      <c r="L69" s="460" t="s">
        <v>333</v>
      </c>
      <c r="M69" s="464"/>
      <c r="N69" s="524"/>
      <c r="O69" s="2"/>
    </row>
    <row r="70" spans="2:17">
      <c r="B70" s="7"/>
      <c r="C70" s="149" t="s">
        <v>334</v>
      </c>
      <c r="D70" s="227"/>
      <c r="E70" s="228"/>
      <c r="F70" s="534" t="s">
        <v>335</v>
      </c>
      <c r="G70" s="535"/>
      <c r="H70" s="536"/>
      <c r="I70" s="537">
        <v>0.64592654447379305</v>
      </c>
      <c r="J70" s="538"/>
      <c r="K70" s="539"/>
      <c r="L70" s="540">
        <v>0.59633435970601989</v>
      </c>
      <c r="M70" s="541"/>
      <c r="N70" s="542"/>
      <c r="O70" s="2"/>
    </row>
    <row r="71" spans="2:17">
      <c r="B71" s="7"/>
      <c r="C71" s="149" t="s">
        <v>336</v>
      </c>
      <c r="D71" s="227"/>
      <c r="E71" s="228"/>
      <c r="F71" s="547" t="s">
        <v>337</v>
      </c>
      <c r="G71" s="535"/>
      <c r="H71" s="536"/>
      <c r="I71" s="537">
        <v>0.18833227408371811</v>
      </c>
      <c r="J71" s="538"/>
      <c r="K71" s="539"/>
      <c r="L71" s="540">
        <v>0.24398325571887375</v>
      </c>
      <c r="M71" s="541"/>
      <c r="N71" s="542"/>
      <c r="O71" s="2"/>
    </row>
    <row r="72" spans="2:17">
      <c r="B72" s="7"/>
      <c r="C72" s="149" t="s">
        <v>338</v>
      </c>
      <c r="D72" s="227"/>
      <c r="E72" s="228"/>
      <c r="F72" s="547" t="s">
        <v>339</v>
      </c>
      <c r="G72" s="535"/>
      <c r="H72" s="536"/>
      <c r="I72" s="554">
        <v>44.464311194152884</v>
      </c>
      <c r="J72" s="555"/>
      <c r="K72" s="555"/>
      <c r="L72" s="554">
        <v>43.722443056925577</v>
      </c>
      <c r="M72" s="555"/>
      <c r="N72" s="556"/>
      <c r="O72" s="2"/>
    </row>
    <row r="73" spans="2:17">
      <c r="B73" s="7"/>
      <c r="C73" s="125" t="s">
        <v>340</v>
      </c>
      <c r="D73" s="238"/>
      <c r="E73" s="238"/>
      <c r="F73" s="547" t="s">
        <v>341</v>
      </c>
      <c r="G73" s="535"/>
      <c r="H73" s="536"/>
      <c r="I73" s="537">
        <v>3.040342808637082E-2</v>
      </c>
      <c r="J73" s="538"/>
      <c r="K73" s="539"/>
      <c r="L73" s="548">
        <v>3.0105666500377694E-2</v>
      </c>
      <c r="M73" s="549"/>
      <c r="N73" s="550"/>
      <c r="O73" s="2"/>
    </row>
    <row r="74" spans="2:17">
      <c r="B74" s="7"/>
      <c r="C74" s="149" t="s">
        <v>342</v>
      </c>
      <c r="D74" s="196"/>
      <c r="E74" s="191"/>
      <c r="F74" s="551">
        <v>0.22</v>
      </c>
      <c r="G74" s="552">
        <v>0.22</v>
      </c>
      <c r="H74" s="553">
        <v>0.22</v>
      </c>
      <c r="I74" s="537">
        <v>0.1248222718341693</v>
      </c>
      <c r="J74" s="538"/>
      <c r="K74" s="539"/>
      <c r="L74" s="548">
        <v>0.12012741753900336</v>
      </c>
      <c r="M74" s="549"/>
      <c r="N74" s="550"/>
      <c r="O74" s="2"/>
      <c r="Q74" s="202"/>
    </row>
    <row r="75" spans="2:17">
      <c r="B75" s="7"/>
      <c r="C75" s="149" t="s">
        <v>343</v>
      </c>
      <c r="D75" s="238"/>
      <c r="E75" s="238"/>
      <c r="F75" s="551">
        <v>0.27</v>
      </c>
      <c r="G75" s="552">
        <v>0.27</v>
      </c>
      <c r="H75" s="553">
        <v>0.27</v>
      </c>
      <c r="I75" s="537">
        <v>0.15563686801336582</v>
      </c>
      <c r="J75" s="538"/>
      <c r="K75" s="539"/>
      <c r="L75" s="548">
        <v>0.14930323081555774</v>
      </c>
      <c r="M75" s="549"/>
      <c r="N75" s="550"/>
      <c r="O75" s="2"/>
      <c r="Q75" s="202"/>
    </row>
    <row r="76" spans="2:17">
      <c r="B76" s="7"/>
      <c r="C76" s="149" t="s">
        <v>344</v>
      </c>
      <c r="D76" s="196"/>
      <c r="E76" s="191"/>
      <c r="F76" s="551">
        <v>0.32</v>
      </c>
      <c r="G76" s="552">
        <v>0.32</v>
      </c>
      <c r="H76" s="553">
        <v>0.32</v>
      </c>
      <c r="I76" s="537">
        <v>0.18452360244424804</v>
      </c>
      <c r="J76" s="538"/>
      <c r="K76" s="539"/>
      <c r="L76" s="548">
        <v>0.17776483086958456</v>
      </c>
      <c r="M76" s="549"/>
      <c r="N76" s="550"/>
      <c r="O76" s="2"/>
      <c r="Q76" s="202"/>
    </row>
    <row r="77" spans="2:17">
      <c r="B77" s="7"/>
      <c r="C77" s="149" t="s">
        <v>345</v>
      </c>
      <c r="D77" s="196"/>
      <c r="E77" s="191"/>
      <c r="F77" s="551">
        <v>0.36</v>
      </c>
      <c r="G77" s="552">
        <v>0.36</v>
      </c>
      <c r="H77" s="553">
        <v>0.36</v>
      </c>
      <c r="I77" s="537">
        <v>0.21244620344153961</v>
      </c>
      <c r="J77" s="538"/>
      <c r="K77" s="539"/>
      <c r="L77" s="548">
        <v>0.20385833057833563</v>
      </c>
      <c r="M77" s="549"/>
      <c r="N77" s="550"/>
      <c r="O77" s="2"/>
      <c r="Q77" s="202"/>
    </row>
    <row r="78" spans="2:17" ht="15" thickBot="1">
      <c r="B78" s="7"/>
      <c r="C78" s="151" t="s">
        <v>346</v>
      </c>
      <c r="D78" s="245"/>
      <c r="E78" s="245"/>
      <c r="F78" s="557">
        <v>0.47</v>
      </c>
      <c r="G78" s="558">
        <v>0.47</v>
      </c>
      <c r="H78" s="559">
        <v>0.47</v>
      </c>
      <c r="I78" s="560">
        <v>0.23665445907287777</v>
      </c>
      <c r="J78" s="561"/>
      <c r="K78" s="562"/>
      <c r="L78" s="563">
        <v>0.22990355083045344</v>
      </c>
      <c r="M78" s="564"/>
      <c r="N78" s="565"/>
      <c r="O78" s="2"/>
      <c r="Q78" s="202"/>
    </row>
    <row r="79" spans="2:17" ht="15" thickBot="1">
      <c r="B79" s="7"/>
      <c r="C79" s="235"/>
      <c r="D79" s="235"/>
      <c r="E79" s="235"/>
      <c r="F79" s="235"/>
      <c r="G79" s="235"/>
      <c r="H79" s="235"/>
      <c r="I79" s="235"/>
      <c r="J79" s="235"/>
      <c r="K79" s="235"/>
      <c r="L79" s="235"/>
      <c r="M79" s="235"/>
      <c r="N79" s="235"/>
      <c r="O79" s="2"/>
    </row>
    <row r="80" spans="2:17">
      <c r="B80" s="7"/>
      <c r="C80" s="499" t="s">
        <v>347</v>
      </c>
      <c r="D80" s="500"/>
      <c r="E80" s="500"/>
      <c r="F80" s="500"/>
      <c r="G80" s="424"/>
      <c r="H80" s="424"/>
      <c r="I80" s="500"/>
      <c r="J80" s="500"/>
      <c r="K80" s="500"/>
      <c r="L80" s="500"/>
      <c r="M80" s="500"/>
      <c r="N80" s="501"/>
      <c r="O80" s="2"/>
    </row>
    <row r="81" spans="2:17">
      <c r="B81" s="7"/>
      <c r="C81" s="247" t="s">
        <v>348</v>
      </c>
      <c r="D81" s="196"/>
      <c r="E81" s="196"/>
      <c r="F81" s="196"/>
      <c r="G81" s="460" t="s">
        <v>349</v>
      </c>
      <c r="H81" s="461"/>
      <c r="I81" s="460" t="s">
        <v>350</v>
      </c>
      <c r="J81" s="461"/>
      <c r="K81" s="460" t="s">
        <v>351</v>
      </c>
      <c r="L81" s="461"/>
      <c r="M81" s="464" t="s">
        <v>352</v>
      </c>
      <c r="N81" s="461"/>
      <c r="O81" s="2"/>
    </row>
    <row r="82" spans="2:17">
      <c r="B82" s="7"/>
      <c r="C82" s="248" t="s">
        <v>353</v>
      </c>
      <c r="D82" s="216"/>
      <c r="E82" s="216"/>
      <c r="F82" s="216"/>
      <c r="G82" s="566">
        <v>718111503.92850018</v>
      </c>
      <c r="H82" s="567"/>
      <c r="I82" s="568">
        <f>G82/$G$87</f>
        <v>0.55008895838730953</v>
      </c>
      <c r="J82" s="569"/>
      <c r="K82" s="566">
        <v>128</v>
      </c>
      <c r="L82" s="567"/>
      <c r="M82" s="568">
        <f>K82/$K$87</f>
        <v>0.59259259259259256</v>
      </c>
      <c r="N82" s="569"/>
      <c r="O82" s="2"/>
      <c r="Q82" s="107"/>
    </row>
    <row r="83" spans="2:17">
      <c r="B83" s="7"/>
      <c r="C83" s="248" t="s">
        <v>354</v>
      </c>
      <c r="D83" s="216"/>
      <c r="E83" s="216"/>
      <c r="F83" s="216"/>
      <c r="G83" s="566">
        <v>328649546.17999989</v>
      </c>
      <c r="H83" s="567"/>
      <c r="I83" s="568">
        <f t="shared" ref="I83:I86" si="0">G83/$G$87</f>
        <v>0.25175266729972673</v>
      </c>
      <c r="J83" s="569"/>
      <c r="K83" s="566">
        <v>34</v>
      </c>
      <c r="L83" s="567"/>
      <c r="M83" s="568">
        <f t="shared" ref="M83:M86" si="1">K83/$K$87</f>
        <v>0.15740740740740741</v>
      </c>
      <c r="N83" s="569"/>
      <c r="O83" s="2"/>
      <c r="P83" s="210"/>
      <c r="Q83" s="107"/>
    </row>
    <row r="84" spans="2:17">
      <c r="B84" s="7"/>
      <c r="C84" s="248" t="s">
        <v>355</v>
      </c>
      <c r="D84" s="216"/>
      <c r="E84" s="216"/>
      <c r="F84" s="216"/>
      <c r="G84" s="566">
        <v>37459568.390000001</v>
      </c>
      <c r="H84" s="567"/>
      <c r="I84" s="568">
        <f t="shared" si="0"/>
        <v>2.8694840348003896E-2</v>
      </c>
      <c r="J84" s="569"/>
      <c r="K84" s="566">
        <v>8</v>
      </c>
      <c r="L84" s="567"/>
      <c r="M84" s="568">
        <f t="shared" si="1"/>
        <v>3.7037037037037035E-2</v>
      </c>
      <c r="N84" s="569"/>
      <c r="O84" s="2"/>
      <c r="Q84" s="107"/>
    </row>
    <row r="85" spans="2:17">
      <c r="B85" s="7"/>
      <c r="C85" s="248" t="s">
        <v>356</v>
      </c>
      <c r="D85" s="216"/>
      <c r="E85" s="216"/>
      <c r="F85" s="216"/>
      <c r="G85" s="566">
        <v>55944992.595500007</v>
      </c>
      <c r="H85" s="567"/>
      <c r="I85" s="568">
        <f t="shared" si="0"/>
        <v>4.2855075479905518E-2</v>
      </c>
      <c r="J85" s="569"/>
      <c r="K85" s="566">
        <v>13</v>
      </c>
      <c r="L85" s="567"/>
      <c r="M85" s="568">
        <f t="shared" si="1"/>
        <v>6.0185185185185182E-2</v>
      </c>
      <c r="N85" s="569"/>
      <c r="O85" s="2"/>
      <c r="Q85" s="107"/>
    </row>
    <row r="86" spans="2:17">
      <c r="B86" s="7"/>
      <c r="C86" s="248" t="s">
        <v>357</v>
      </c>
      <c r="D86" s="216"/>
      <c r="E86" s="216"/>
      <c r="F86" s="216"/>
      <c r="G86" s="566">
        <v>165280522.62549999</v>
      </c>
      <c r="H86" s="567"/>
      <c r="I86" s="568">
        <f t="shared" si="0"/>
        <v>0.12660845848505431</v>
      </c>
      <c r="J86" s="569"/>
      <c r="K86" s="566">
        <v>33</v>
      </c>
      <c r="L86" s="567"/>
      <c r="M86" s="568">
        <f t="shared" si="1"/>
        <v>0.15277777777777779</v>
      </c>
      <c r="N86" s="569"/>
      <c r="O86" s="2"/>
      <c r="Q86" s="107"/>
    </row>
    <row r="87" spans="2:17">
      <c r="B87" s="7"/>
      <c r="C87" s="247" t="s">
        <v>358</v>
      </c>
      <c r="D87" s="196"/>
      <c r="E87" s="196"/>
      <c r="F87" s="196"/>
      <c r="G87" s="570">
        <f>SUM(G82:H86)</f>
        <v>1305446133.7195001</v>
      </c>
      <c r="H87" s="571"/>
      <c r="I87" s="572">
        <f>SUM(I82:J86)</f>
        <v>0.99999999999999989</v>
      </c>
      <c r="J87" s="573"/>
      <c r="K87" s="570">
        <f>SUM(K82:L86)</f>
        <v>216</v>
      </c>
      <c r="L87" s="571"/>
      <c r="M87" s="574">
        <f>SUM(M82:N86)</f>
        <v>1</v>
      </c>
      <c r="N87" s="571"/>
      <c r="O87" s="2"/>
    </row>
    <row r="88" spans="2:17">
      <c r="B88" s="7"/>
      <c r="C88" s="235"/>
      <c r="D88" s="235"/>
      <c r="E88" s="235"/>
      <c r="F88" s="235"/>
      <c r="G88" s="235"/>
      <c r="H88" s="235"/>
      <c r="I88" s="235"/>
      <c r="J88" s="235"/>
      <c r="K88" s="235"/>
      <c r="L88" s="235"/>
      <c r="M88" s="235"/>
      <c r="N88" s="235"/>
      <c r="O88" s="2"/>
    </row>
    <row r="89" spans="2:17">
      <c r="B89" s="7"/>
      <c r="C89" s="247" t="s">
        <v>359</v>
      </c>
      <c r="D89" s="196"/>
      <c r="E89" s="196"/>
      <c r="F89" s="196"/>
      <c r="G89" s="460" t="s">
        <v>349</v>
      </c>
      <c r="H89" s="461"/>
      <c r="I89" s="460" t="s">
        <v>350</v>
      </c>
      <c r="J89" s="461"/>
      <c r="K89" s="460" t="s">
        <v>351</v>
      </c>
      <c r="L89" s="461"/>
      <c r="M89" s="464" t="s">
        <v>352</v>
      </c>
      <c r="N89" s="461"/>
      <c r="O89" s="2"/>
    </row>
    <row r="90" spans="2:17">
      <c r="B90" s="7"/>
      <c r="C90" s="248" t="s">
        <v>360</v>
      </c>
      <c r="D90" s="216"/>
      <c r="E90" s="216"/>
      <c r="F90" s="216"/>
      <c r="G90" s="566">
        <v>22618466.009999998</v>
      </c>
      <c r="H90" s="567"/>
      <c r="I90" s="568">
        <f>G90/$G$95</f>
        <v>1.7326234630267796E-2</v>
      </c>
      <c r="J90" s="569"/>
      <c r="K90" s="575">
        <v>19</v>
      </c>
      <c r="L90" s="576"/>
      <c r="M90" s="577">
        <f>K90/$K$95</f>
        <v>8.7962962962962965E-2</v>
      </c>
      <c r="N90" s="578"/>
      <c r="O90" s="2"/>
    </row>
    <row r="91" spans="2:17">
      <c r="B91" s="7"/>
      <c r="C91" s="248" t="s">
        <v>361</v>
      </c>
      <c r="D91" s="216"/>
      <c r="E91" s="216"/>
      <c r="F91" s="216"/>
      <c r="G91" s="566">
        <v>239225250.38949999</v>
      </c>
      <c r="H91" s="567"/>
      <c r="I91" s="568">
        <f t="shared" ref="I91:I94" si="2">G91/$G$95</f>
        <v>0.18325172077984964</v>
      </c>
      <c r="J91" s="569"/>
      <c r="K91" s="566">
        <v>58</v>
      </c>
      <c r="L91" s="567"/>
      <c r="M91" s="568">
        <f t="shared" ref="M91:M94" si="3">K91/$K$95</f>
        <v>0.26851851851851855</v>
      </c>
      <c r="N91" s="569"/>
      <c r="O91" s="2"/>
    </row>
    <row r="92" spans="2:17">
      <c r="B92" s="7"/>
      <c r="C92" s="248" t="s">
        <v>362</v>
      </c>
      <c r="D92" s="216"/>
      <c r="E92" s="216"/>
      <c r="F92" s="216"/>
      <c r="G92" s="566">
        <v>369969191.30599999</v>
      </c>
      <c r="H92" s="567"/>
      <c r="I92" s="568">
        <f t="shared" si="2"/>
        <v>0.28340440999421201</v>
      </c>
      <c r="J92" s="569"/>
      <c r="K92" s="566">
        <v>52</v>
      </c>
      <c r="L92" s="567"/>
      <c r="M92" s="568">
        <f t="shared" si="3"/>
        <v>0.24074074074074073</v>
      </c>
      <c r="N92" s="569"/>
      <c r="O92" s="2"/>
    </row>
    <row r="93" spans="2:17">
      <c r="B93" s="7"/>
      <c r="C93" s="248" t="s">
        <v>363</v>
      </c>
      <c r="D93" s="216"/>
      <c r="E93" s="216"/>
      <c r="F93" s="216"/>
      <c r="G93" s="566">
        <v>355126228.14349973</v>
      </c>
      <c r="H93" s="567"/>
      <c r="I93" s="568">
        <f t="shared" si="2"/>
        <v>0.27203437887679666</v>
      </c>
      <c r="J93" s="569"/>
      <c r="K93" s="566">
        <v>59</v>
      </c>
      <c r="L93" s="567"/>
      <c r="M93" s="568">
        <f t="shared" si="3"/>
        <v>0.27314814814814814</v>
      </c>
      <c r="N93" s="569"/>
      <c r="O93" s="2"/>
    </row>
    <row r="94" spans="2:17">
      <c r="B94" s="7"/>
      <c r="C94" s="248" t="s">
        <v>364</v>
      </c>
      <c r="D94" s="216"/>
      <c r="E94" s="216"/>
      <c r="F94" s="216"/>
      <c r="G94" s="582">
        <v>318506997.87049985</v>
      </c>
      <c r="H94" s="583"/>
      <c r="I94" s="568">
        <f t="shared" si="2"/>
        <v>0.24398325571887386</v>
      </c>
      <c r="J94" s="569"/>
      <c r="K94" s="584">
        <v>28</v>
      </c>
      <c r="L94" s="585"/>
      <c r="M94" s="586">
        <f t="shared" si="3"/>
        <v>0.12962962962962962</v>
      </c>
      <c r="N94" s="587"/>
      <c r="O94" s="2"/>
    </row>
    <row r="95" spans="2:17">
      <c r="B95" s="7"/>
      <c r="C95" s="247" t="s">
        <v>358</v>
      </c>
      <c r="D95" s="196"/>
      <c r="E95" s="196"/>
      <c r="F95" s="196"/>
      <c r="G95" s="588">
        <f>SUM(G90:H94)</f>
        <v>1305446133.7194996</v>
      </c>
      <c r="H95" s="589"/>
      <c r="I95" s="574">
        <f>SUM(I90:J94)</f>
        <v>1</v>
      </c>
      <c r="J95" s="590"/>
      <c r="K95" s="591">
        <f>SUM(K90:L94)</f>
        <v>216</v>
      </c>
      <c r="L95" s="592"/>
      <c r="M95" s="572">
        <f>SUM(M90:N94)</f>
        <v>1</v>
      </c>
      <c r="N95" s="573"/>
      <c r="O95" s="2"/>
    </row>
    <row r="96" spans="2:17">
      <c r="B96" s="7"/>
      <c r="C96" s="9"/>
      <c r="D96" s="9"/>
      <c r="E96" s="9"/>
      <c r="F96" s="9"/>
      <c r="G96" s="9"/>
      <c r="H96" s="9"/>
      <c r="I96" s="9"/>
      <c r="J96" s="9"/>
      <c r="K96" s="9"/>
      <c r="L96" s="9"/>
      <c r="M96" s="9"/>
      <c r="N96" s="9"/>
      <c r="O96" s="2"/>
    </row>
    <row r="97" spans="2:15">
      <c r="B97" s="7"/>
      <c r="C97" s="247" t="s">
        <v>365</v>
      </c>
      <c r="D97" s="196"/>
      <c r="E97" s="196"/>
      <c r="F97" s="196"/>
      <c r="G97" s="460" t="s">
        <v>349</v>
      </c>
      <c r="H97" s="461"/>
      <c r="I97" s="464" t="s">
        <v>350</v>
      </c>
      <c r="J97" s="461"/>
      <c r="K97" s="460" t="s">
        <v>351</v>
      </c>
      <c r="L97" s="461"/>
      <c r="M97" s="579" t="s">
        <v>352</v>
      </c>
      <c r="N97" s="580"/>
      <c r="O97" s="2"/>
    </row>
    <row r="98" spans="2:15">
      <c r="B98" s="7"/>
      <c r="C98" s="248">
        <v>2007</v>
      </c>
      <c r="D98" s="216"/>
      <c r="E98" s="216"/>
      <c r="F98" s="216"/>
      <c r="G98" s="566">
        <v>0</v>
      </c>
      <c r="H98" s="567"/>
      <c r="I98" s="581">
        <f t="shared" ref="I98:I116" si="4">G98/$G$117</f>
        <v>0</v>
      </c>
      <c r="J98" s="569"/>
      <c r="K98" s="566">
        <v>0</v>
      </c>
      <c r="L98" s="567"/>
      <c r="M98" s="577">
        <f t="shared" ref="M98:M116" si="5">K98/$K$117</f>
        <v>0</v>
      </c>
      <c r="N98" s="578"/>
      <c r="O98" s="2"/>
    </row>
    <row r="99" spans="2:15">
      <c r="B99" s="7"/>
      <c r="C99" s="248">
        <v>2008</v>
      </c>
      <c r="D99" s="216"/>
      <c r="E99" s="216"/>
      <c r="F99" s="216"/>
      <c r="G99" s="566">
        <v>0</v>
      </c>
      <c r="H99" s="567"/>
      <c r="I99" s="581">
        <f t="shared" si="4"/>
        <v>0</v>
      </c>
      <c r="J99" s="569"/>
      <c r="K99" s="566">
        <v>0</v>
      </c>
      <c r="L99" s="567"/>
      <c r="M99" s="568">
        <f t="shared" si="5"/>
        <v>0</v>
      </c>
      <c r="N99" s="569"/>
      <c r="O99" s="2"/>
    </row>
    <row r="100" spans="2:15">
      <c r="B100" s="7"/>
      <c r="C100" s="248">
        <v>2009</v>
      </c>
      <c r="D100" s="216"/>
      <c r="E100" s="216"/>
      <c r="F100" s="216"/>
      <c r="G100" s="566">
        <v>0</v>
      </c>
      <c r="H100" s="567"/>
      <c r="I100" s="581">
        <f t="shared" si="4"/>
        <v>0</v>
      </c>
      <c r="J100" s="569"/>
      <c r="K100" s="566">
        <v>0</v>
      </c>
      <c r="L100" s="567"/>
      <c r="M100" s="568">
        <f t="shared" si="5"/>
        <v>0</v>
      </c>
      <c r="N100" s="569"/>
      <c r="O100" s="2"/>
    </row>
    <row r="101" spans="2:15">
      <c r="B101" s="7"/>
      <c r="C101" s="248">
        <v>2010</v>
      </c>
      <c r="D101" s="216"/>
      <c r="E101" s="216"/>
      <c r="F101" s="216"/>
      <c r="G101" s="566">
        <v>0</v>
      </c>
      <c r="H101" s="567"/>
      <c r="I101" s="581">
        <f t="shared" si="4"/>
        <v>0</v>
      </c>
      <c r="J101" s="569"/>
      <c r="K101" s="566">
        <v>0</v>
      </c>
      <c r="L101" s="567"/>
      <c r="M101" s="568">
        <f t="shared" si="5"/>
        <v>0</v>
      </c>
      <c r="N101" s="569"/>
      <c r="O101" s="2"/>
    </row>
    <row r="102" spans="2:15">
      <c r="B102" s="7"/>
      <c r="C102" s="248">
        <v>2011</v>
      </c>
      <c r="D102" s="216"/>
      <c r="E102" s="216"/>
      <c r="F102" s="216"/>
      <c r="G102" s="566">
        <v>0</v>
      </c>
      <c r="H102" s="567"/>
      <c r="I102" s="581">
        <f t="shared" si="4"/>
        <v>0</v>
      </c>
      <c r="J102" s="569"/>
      <c r="K102" s="566">
        <v>0</v>
      </c>
      <c r="L102" s="567"/>
      <c r="M102" s="568">
        <f t="shared" si="5"/>
        <v>0</v>
      </c>
      <c r="N102" s="569"/>
      <c r="O102" s="2"/>
    </row>
    <row r="103" spans="2:15">
      <c r="B103" s="7"/>
      <c r="C103" s="248">
        <v>2012</v>
      </c>
      <c r="D103" s="216"/>
      <c r="E103" s="216"/>
      <c r="F103" s="216"/>
      <c r="G103" s="566">
        <v>1915476.2599999998</v>
      </c>
      <c r="H103" s="567"/>
      <c r="I103" s="581">
        <f t="shared" si="4"/>
        <v>1.467296283257886E-3</v>
      </c>
      <c r="J103" s="569"/>
      <c r="K103" s="566">
        <v>3</v>
      </c>
      <c r="L103" s="567"/>
      <c r="M103" s="568">
        <f t="shared" si="5"/>
        <v>1.3888888888888888E-2</v>
      </c>
      <c r="N103" s="569"/>
      <c r="O103" s="2"/>
    </row>
    <row r="104" spans="2:15">
      <c r="B104" s="7"/>
      <c r="C104" s="248">
        <v>2013</v>
      </c>
      <c r="D104" s="216"/>
      <c r="E104" s="216"/>
      <c r="F104" s="216"/>
      <c r="G104" s="566">
        <v>3958063.7</v>
      </c>
      <c r="H104" s="567"/>
      <c r="I104" s="581">
        <f t="shared" si="4"/>
        <v>3.0319624822225453E-3</v>
      </c>
      <c r="J104" s="569"/>
      <c r="K104" s="566">
        <v>3</v>
      </c>
      <c r="L104" s="567"/>
      <c r="M104" s="568">
        <f t="shared" si="5"/>
        <v>1.3888888888888888E-2</v>
      </c>
      <c r="N104" s="569"/>
      <c r="O104" s="2"/>
    </row>
    <row r="105" spans="2:15">
      <c r="B105" s="7"/>
      <c r="C105" s="248">
        <v>2014</v>
      </c>
      <c r="D105" s="216"/>
      <c r="E105" s="216"/>
      <c r="F105" s="216"/>
      <c r="G105" s="566">
        <v>0</v>
      </c>
      <c r="H105" s="567"/>
      <c r="I105" s="581">
        <f t="shared" si="4"/>
        <v>0</v>
      </c>
      <c r="J105" s="569"/>
      <c r="K105" s="566">
        <v>0</v>
      </c>
      <c r="L105" s="567"/>
      <c r="M105" s="568">
        <f t="shared" si="5"/>
        <v>0</v>
      </c>
      <c r="N105" s="569"/>
      <c r="O105" s="2"/>
    </row>
    <row r="106" spans="2:15">
      <c r="B106" s="7"/>
      <c r="C106" s="248">
        <v>2015</v>
      </c>
      <c r="D106" s="216"/>
      <c r="E106" s="216"/>
      <c r="F106" s="216"/>
      <c r="G106" s="566">
        <v>424302.68</v>
      </c>
      <c r="H106" s="567"/>
      <c r="I106" s="581">
        <f t="shared" si="4"/>
        <v>3.2502503859816058E-4</v>
      </c>
      <c r="J106" s="569"/>
      <c r="K106" s="566">
        <v>1</v>
      </c>
      <c r="L106" s="567"/>
      <c r="M106" s="568">
        <f t="shared" si="5"/>
        <v>4.6296296296296294E-3</v>
      </c>
      <c r="N106" s="569"/>
      <c r="O106" s="2"/>
    </row>
    <row r="107" spans="2:15">
      <c r="B107" s="7"/>
      <c r="C107" s="248">
        <v>2016</v>
      </c>
      <c r="D107" s="216"/>
      <c r="E107" s="216"/>
      <c r="F107" s="216"/>
      <c r="G107" s="566">
        <v>14566050.119999999</v>
      </c>
      <c r="H107" s="567"/>
      <c r="I107" s="581">
        <f t="shared" si="4"/>
        <v>1.1157909731976572E-2</v>
      </c>
      <c r="J107" s="569"/>
      <c r="K107" s="566">
        <v>7</v>
      </c>
      <c r="L107" s="567"/>
      <c r="M107" s="568">
        <f t="shared" si="5"/>
        <v>3.2407407407407406E-2</v>
      </c>
      <c r="N107" s="569"/>
      <c r="O107" s="2"/>
    </row>
    <row r="108" spans="2:15">
      <c r="B108" s="7"/>
      <c r="C108" s="248">
        <v>2017</v>
      </c>
      <c r="D108" s="216"/>
      <c r="E108" s="216"/>
      <c r="F108" s="216"/>
      <c r="G108" s="566">
        <v>60182758.920000002</v>
      </c>
      <c r="H108" s="567"/>
      <c r="I108" s="581">
        <f t="shared" si="4"/>
        <v>4.6101296227770219E-2</v>
      </c>
      <c r="J108" s="569"/>
      <c r="K108" s="566">
        <v>10</v>
      </c>
      <c r="L108" s="567"/>
      <c r="M108" s="568">
        <f t="shared" si="5"/>
        <v>4.6296296296296294E-2</v>
      </c>
      <c r="N108" s="569"/>
      <c r="O108" s="2"/>
    </row>
    <row r="109" spans="2:15">
      <c r="B109" s="7"/>
      <c r="C109" s="248">
        <v>2018</v>
      </c>
      <c r="D109" s="216"/>
      <c r="E109" s="216"/>
      <c r="F109" s="216"/>
      <c r="G109" s="566">
        <v>64661969.309999995</v>
      </c>
      <c r="H109" s="567"/>
      <c r="I109" s="581">
        <f t="shared" si="4"/>
        <v>4.9532468356824483E-2</v>
      </c>
      <c r="J109" s="569"/>
      <c r="K109" s="566">
        <v>10</v>
      </c>
      <c r="L109" s="567"/>
      <c r="M109" s="568">
        <f t="shared" si="5"/>
        <v>4.6296296296296294E-2</v>
      </c>
      <c r="N109" s="569"/>
      <c r="O109" s="2"/>
    </row>
    <row r="110" spans="2:15">
      <c r="B110" s="7"/>
      <c r="C110" s="248">
        <v>2019</v>
      </c>
      <c r="D110" s="216"/>
      <c r="E110" s="216"/>
      <c r="F110" s="216"/>
      <c r="G110" s="566">
        <v>127597206.16</v>
      </c>
      <c r="H110" s="567"/>
      <c r="I110" s="581">
        <f t="shared" si="4"/>
        <v>9.7742222267300907E-2</v>
      </c>
      <c r="J110" s="569"/>
      <c r="K110" s="566">
        <v>29</v>
      </c>
      <c r="L110" s="567"/>
      <c r="M110" s="568">
        <f t="shared" si="5"/>
        <v>0.13425925925925927</v>
      </c>
      <c r="N110" s="569"/>
      <c r="O110" s="2"/>
    </row>
    <row r="111" spans="2:15">
      <c r="B111" s="7"/>
      <c r="C111" s="248">
        <v>2020</v>
      </c>
      <c r="D111" s="216"/>
      <c r="E111" s="216"/>
      <c r="F111" s="216"/>
      <c r="G111" s="566">
        <v>113977091.70550001</v>
      </c>
      <c r="H111" s="567"/>
      <c r="I111" s="581">
        <f t="shared" si="4"/>
        <v>8.7308919733635026E-2</v>
      </c>
      <c r="J111" s="569"/>
      <c r="K111" s="566">
        <v>19</v>
      </c>
      <c r="L111" s="567"/>
      <c r="M111" s="568">
        <f t="shared" si="5"/>
        <v>8.7962962962962965E-2</v>
      </c>
      <c r="N111" s="569"/>
      <c r="O111" s="2"/>
    </row>
    <row r="112" spans="2:15">
      <c r="B112" s="7"/>
      <c r="C112" s="248">
        <v>2021</v>
      </c>
      <c r="D112" s="216"/>
      <c r="E112" s="216"/>
      <c r="F112" s="216"/>
      <c r="G112" s="566">
        <v>63296723.451500006</v>
      </c>
      <c r="H112" s="567"/>
      <c r="I112" s="581">
        <f t="shared" si="4"/>
        <v>4.8486660473039872E-2</v>
      </c>
      <c r="J112" s="569"/>
      <c r="K112" s="566">
        <v>17</v>
      </c>
      <c r="L112" s="567"/>
      <c r="M112" s="568">
        <f t="shared" si="5"/>
        <v>7.8703703703703706E-2</v>
      </c>
      <c r="N112" s="569"/>
      <c r="O112" s="2"/>
    </row>
    <row r="113" spans="2:15">
      <c r="B113" s="7"/>
      <c r="C113" s="248">
        <v>2022</v>
      </c>
      <c r="D113" s="216"/>
      <c r="E113" s="216"/>
      <c r="F113" s="216"/>
      <c r="G113" s="566">
        <v>323494244.20700008</v>
      </c>
      <c r="H113" s="567"/>
      <c r="I113" s="581">
        <f t="shared" si="4"/>
        <v>0.24780359438140476</v>
      </c>
      <c r="J113" s="569"/>
      <c r="K113" s="566">
        <v>49</v>
      </c>
      <c r="L113" s="567"/>
      <c r="M113" s="568">
        <f t="shared" si="5"/>
        <v>0.22685185185185186</v>
      </c>
      <c r="N113" s="569"/>
      <c r="O113" s="2"/>
    </row>
    <row r="114" spans="2:15">
      <c r="B114" s="7"/>
      <c r="C114" s="248">
        <v>2023</v>
      </c>
      <c r="D114" s="216"/>
      <c r="E114" s="216"/>
      <c r="F114" s="216"/>
      <c r="G114" s="566">
        <v>186256573.33750001</v>
      </c>
      <c r="H114" s="567"/>
      <c r="I114" s="581">
        <f t="shared" si="4"/>
        <v>0.14267656744044621</v>
      </c>
      <c r="J114" s="569"/>
      <c r="K114" s="566">
        <v>33</v>
      </c>
      <c r="L114" s="567"/>
      <c r="M114" s="568">
        <f t="shared" si="5"/>
        <v>0.15277777777777779</v>
      </c>
      <c r="N114" s="569"/>
      <c r="O114" s="2"/>
    </row>
    <row r="115" spans="2:15">
      <c r="B115" s="7"/>
      <c r="C115" s="248">
        <v>2024</v>
      </c>
      <c r="D115" s="216"/>
      <c r="E115" s="216"/>
      <c r="F115" s="216"/>
      <c r="G115" s="566">
        <v>147697315.00649998</v>
      </c>
      <c r="H115" s="567"/>
      <c r="I115" s="581">
        <f t="shared" si="4"/>
        <v>0.11313934079047612</v>
      </c>
      <c r="J115" s="569"/>
      <c r="K115" s="566">
        <v>19</v>
      </c>
      <c r="L115" s="567"/>
      <c r="M115" s="568">
        <f t="shared" si="5"/>
        <v>8.7962962962962965E-2</v>
      </c>
      <c r="N115" s="569"/>
      <c r="O115" s="2"/>
    </row>
    <row r="116" spans="2:15">
      <c r="B116" s="7"/>
      <c r="C116" s="248">
        <v>2025</v>
      </c>
      <c r="D116" s="216"/>
      <c r="E116" s="216"/>
      <c r="F116" s="216"/>
      <c r="G116" s="566">
        <v>197418358.86149999</v>
      </c>
      <c r="H116" s="567"/>
      <c r="I116" s="581">
        <f t="shared" si="4"/>
        <v>0.15122673679304724</v>
      </c>
      <c r="J116" s="569"/>
      <c r="K116" s="566">
        <v>16</v>
      </c>
      <c r="L116" s="567"/>
      <c r="M116" s="568">
        <f t="shared" si="5"/>
        <v>7.407407407407407E-2</v>
      </c>
      <c r="N116" s="569"/>
      <c r="O116" s="2"/>
    </row>
    <row r="117" spans="2:15">
      <c r="B117" s="7"/>
      <c r="C117" s="247" t="s">
        <v>358</v>
      </c>
      <c r="D117" s="196"/>
      <c r="E117" s="196"/>
      <c r="F117" s="196"/>
      <c r="G117" s="593">
        <f t="shared" ref="G117" si="6">SUM(G98:H116)</f>
        <v>1305446133.7195001</v>
      </c>
      <c r="H117" s="594"/>
      <c r="I117" s="574">
        <f t="shared" ref="I117" si="7">SUM(I98:J116)</f>
        <v>1</v>
      </c>
      <c r="J117" s="590"/>
      <c r="K117" s="570">
        <f t="shared" ref="K117" si="8">SUM(K98:L116)</f>
        <v>216</v>
      </c>
      <c r="L117" s="571"/>
      <c r="M117" s="574">
        <f t="shared" ref="M117" si="9">SUM(M98:N116)</f>
        <v>0.99999999999999989</v>
      </c>
      <c r="N117" s="571"/>
      <c r="O117" s="2"/>
    </row>
    <row r="118" spans="2:15">
      <c r="B118" s="7"/>
      <c r="C118" s="9"/>
      <c r="D118" s="9"/>
      <c r="E118" s="9"/>
      <c r="F118" s="9"/>
      <c r="G118" s="9"/>
      <c r="H118" s="9"/>
      <c r="I118" s="9"/>
      <c r="J118" s="9"/>
      <c r="K118" s="9"/>
      <c r="L118" s="9"/>
      <c r="M118" s="9"/>
      <c r="N118" s="9"/>
      <c r="O118" s="2"/>
    </row>
    <row r="119" spans="2:15">
      <c r="B119" s="7"/>
      <c r="C119" s="247" t="s">
        <v>366</v>
      </c>
      <c r="D119" s="196"/>
      <c r="E119" s="196"/>
      <c r="F119" s="196"/>
      <c r="G119" s="460" t="s">
        <v>349</v>
      </c>
      <c r="H119" s="461"/>
      <c r="I119" s="460" t="s">
        <v>350</v>
      </c>
      <c r="J119" s="461"/>
      <c r="K119" s="460" t="s">
        <v>351</v>
      </c>
      <c r="L119" s="461"/>
      <c r="M119" s="464" t="s">
        <v>352</v>
      </c>
      <c r="N119" s="461"/>
      <c r="O119" s="2"/>
    </row>
    <row r="120" spans="2:15">
      <c r="B120" s="7"/>
      <c r="C120" s="248" t="s">
        <v>367</v>
      </c>
      <c r="D120" s="216"/>
      <c r="E120" s="216"/>
      <c r="F120" s="216"/>
      <c r="G120" s="575">
        <v>0</v>
      </c>
      <c r="H120" s="576"/>
      <c r="I120" s="581">
        <f>G120/$G$126</f>
        <v>0</v>
      </c>
      <c r="J120" s="569"/>
      <c r="K120" s="597">
        <v>0</v>
      </c>
      <c r="L120" s="598"/>
      <c r="M120" s="577">
        <f t="shared" ref="M120:M125" si="10">K120/$K$126</f>
        <v>0</v>
      </c>
      <c r="N120" s="578"/>
      <c r="O120" s="2"/>
    </row>
    <row r="121" spans="2:15">
      <c r="B121" s="7"/>
      <c r="C121" s="248" t="s">
        <v>368</v>
      </c>
      <c r="D121" s="216"/>
      <c r="E121" s="216"/>
      <c r="F121" s="216"/>
      <c r="G121" s="566">
        <v>184040479.43000001</v>
      </c>
      <c r="H121" s="567"/>
      <c r="I121" s="581">
        <f t="shared" ref="I121:I125" si="11">G121/$G$126</f>
        <v>0.14097899153113941</v>
      </c>
      <c r="J121" s="581"/>
      <c r="K121" s="595">
        <v>6</v>
      </c>
      <c r="L121" s="596"/>
      <c r="M121" s="581">
        <f t="shared" si="10"/>
        <v>2.7777777777777776E-2</v>
      </c>
      <c r="N121" s="569"/>
      <c r="O121" s="2"/>
    </row>
    <row r="122" spans="2:15">
      <c r="B122" s="7"/>
      <c r="C122" s="248" t="s">
        <v>369</v>
      </c>
      <c r="D122" s="216"/>
      <c r="E122" s="216"/>
      <c r="F122" s="216"/>
      <c r="G122" s="566">
        <v>381439092.70999986</v>
      </c>
      <c r="H122" s="567"/>
      <c r="I122" s="581">
        <f t="shared" si="11"/>
        <v>0.292190602781286</v>
      </c>
      <c r="J122" s="581"/>
      <c r="K122" s="595">
        <v>44</v>
      </c>
      <c r="L122" s="596"/>
      <c r="M122" s="581">
        <f t="shared" si="10"/>
        <v>0.20370370370370369</v>
      </c>
      <c r="N122" s="569"/>
      <c r="O122" s="2"/>
    </row>
    <row r="123" spans="2:15">
      <c r="B123" s="7"/>
      <c r="C123" s="248" t="s">
        <v>370</v>
      </c>
      <c r="D123" s="216"/>
      <c r="E123" s="216"/>
      <c r="F123" s="216"/>
      <c r="G123" s="566">
        <v>611607252.34750009</v>
      </c>
      <c r="H123" s="567"/>
      <c r="I123" s="581">
        <f t="shared" si="11"/>
        <v>0.46850439596837151</v>
      </c>
      <c r="J123" s="581"/>
      <c r="K123" s="595">
        <v>138</v>
      </c>
      <c r="L123" s="596"/>
      <c r="M123" s="581">
        <f t="shared" si="10"/>
        <v>0.63888888888888884</v>
      </c>
      <c r="N123" s="569"/>
      <c r="O123" s="2"/>
    </row>
    <row r="124" spans="2:15">
      <c r="B124" s="7"/>
      <c r="C124" s="248" t="s">
        <v>371</v>
      </c>
      <c r="D124" s="216"/>
      <c r="E124" s="216"/>
      <c r="F124" s="216"/>
      <c r="G124" s="566">
        <v>126205183.93199968</v>
      </c>
      <c r="H124" s="567"/>
      <c r="I124" s="581">
        <f t="shared" si="11"/>
        <v>9.6675903104798122E-2</v>
      </c>
      <c r="J124" s="581"/>
      <c r="K124" s="595">
        <v>27</v>
      </c>
      <c r="L124" s="596"/>
      <c r="M124" s="581">
        <f t="shared" si="10"/>
        <v>0.125</v>
      </c>
      <c r="N124" s="569"/>
      <c r="O124" s="2"/>
    </row>
    <row r="125" spans="2:15">
      <c r="B125" s="7"/>
      <c r="C125" s="248" t="s">
        <v>372</v>
      </c>
      <c r="D125" s="216"/>
      <c r="E125" s="216"/>
      <c r="F125" s="216"/>
      <c r="G125" s="582">
        <v>2154125.2999999523</v>
      </c>
      <c r="H125" s="583"/>
      <c r="I125" s="603">
        <f t="shared" si="11"/>
        <v>1.6501066144049784E-3</v>
      </c>
      <c r="J125" s="603"/>
      <c r="K125" s="604">
        <v>1</v>
      </c>
      <c r="L125" s="605"/>
      <c r="M125" s="603">
        <f t="shared" si="10"/>
        <v>4.6296296296296294E-3</v>
      </c>
      <c r="N125" s="587"/>
      <c r="O125" s="2"/>
    </row>
    <row r="126" spans="2:15">
      <c r="B126" s="7"/>
      <c r="C126" s="247" t="s">
        <v>358</v>
      </c>
      <c r="D126" s="196"/>
      <c r="E126" s="196"/>
      <c r="F126" s="196"/>
      <c r="G126" s="593">
        <f>SUM(G120:H125)</f>
        <v>1305446133.7194996</v>
      </c>
      <c r="H126" s="594"/>
      <c r="I126" s="574">
        <f>SUM(I120:J125)</f>
        <v>1</v>
      </c>
      <c r="J126" s="571"/>
      <c r="K126" s="599">
        <f>SUM(K120:L125)</f>
        <v>216</v>
      </c>
      <c r="L126" s="600"/>
      <c r="M126" s="601">
        <f>SUM(M120:N125)</f>
        <v>0.99999999999999989</v>
      </c>
      <c r="N126" s="602"/>
      <c r="O126" s="2"/>
    </row>
    <row r="127" spans="2:15" ht="15" thickBot="1">
      <c r="B127" s="205"/>
      <c r="C127" s="91"/>
      <c r="D127" s="91"/>
      <c r="E127" s="91"/>
      <c r="F127" s="91"/>
      <c r="G127" s="91"/>
      <c r="H127" s="91"/>
      <c r="I127" s="91"/>
      <c r="J127" s="91"/>
      <c r="K127" s="91"/>
      <c r="L127" s="91"/>
      <c r="M127" s="91"/>
      <c r="N127" s="91"/>
      <c r="O127" s="135"/>
    </row>
    <row r="189" spans="11:11">
      <c r="K189" s="1">
        <v>2457389.4</v>
      </c>
    </row>
  </sheetData>
  <mergeCells count="278">
    <mergeCell ref="G126:H126"/>
    <mergeCell ref="I126:J126"/>
    <mergeCell ref="K126:L126"/>
    <mergeCell ref="M126:N126"/>
    <mergeCell ref="G124:H124"/>
    <mergeCell ref="I124:J124"/>
    <mergeCell ref="K124:L124"/>
    <mergeCell ref="M124:N124"/>
    <mergeCell ref="G125:H125"/>
    <mergeCell ref="I125:J125"/>
    <mergeCell ref="K125:L125"/>
    <mergeCell ref="M125:N125"/>
    <mergeCell ref="G122:H122"/>
    <mergeCell ref="I122:J122"/>
    <mergeCell ref="K122:L122"/>
    <mergeCell ref="M122:N122"/>
    <mergeCell ref="G123:H123"/>
    <mergeCell ref="I123:J123"/>
    <mergeCell ref="K123:L123"/>
    <mergeCell ref="M123:N123"/>
    <mergeCell ref="G120:H120"/>
    <mergeCell ref="I120:J120"/>
    <mergeCell ref="K120:L120"/>
    <mergeCell ref="M120:N120"/>
    <mergeCell ref="G121:H121"/>
    <mergeCell ref="I121:J121"/>
    <mergeCell ref="K121:L121"/>
    <mergeCell ref="M121:N121"/>
    <mergeCell ref="G117:H117"/>
    <mergeCell ref="I117:J117"/>
    <mergeCell ref="K117:L117"/>
    <mergeCell ref="M117:N117"/>
    <mergeCell ref="G119:H119"/>
    <mergeCell ref="I119:J119"/>
    <mergeCell ref="K119:L119"/>
    <mergeCell ref="M119:N119"/>
    <mergeCell ref="G115:H115"/>
    <mergeCell ref="I115:J115"/>
    <mergeCell ref="K115:L115"/>
    <mergeCell ref="M115:N115"/>
    <mergeCell ref="G116:H116"/>
    <mergeCell ref="I116:J116"/>
    <mergeCell ref="K116:L116"/>
    <mergeCell ref="M116:N116"/>
    <mergeCell ref="G113:H113"/>
    <mergeCell ref="I113:J113"/>
    <mergeCell ref="K113:L113"/>
    <mergeCell ref="M113:N113"/>
    <mergeCell ref="G114:H114"/>
    <mergeCell ref="I114:J114"/>
    <mergeCell ref="K114:L114"/>
    <mergeCell ref="M114:N114"/>
    <mergeCell ref="G111:H111"/>
    <mergeCell ref="I111:J111"/>
    <mergeCell ref="K111:L111"/>
    <mergeCell ref="M111:N111"/>
    <mergeCell ref="G112:H112"/>
    <mergeCell ref="I112:J112"/>
    <mergeCell ref="K112:L112"/>
    <mergeCell ref="M112:N112"/>
    <mergeCell ref="G109:H109"/>
    <mergeCell ref="I109:J109"/>
    <mergeCell ref="K109:L109"/>
    <mergeCell ref="M109:N109"/>
    <mergeCell ref="G110:H110"/>
    <mergeCell ref="I110:J110"/>
    <mergeCell ref="K110:L110"/>
    <mergeCell ref="M110:N110"/>
    <mergeCell ref="G107:H107"/>
    <mergeCell ref="I107:J107"/>
    <mergeCell ref="K107:L107"/>
    <mergeCell ref="M107:N107"/>
    <mergeCell ref="G108:H108"/>
    <mergeCell ref="I108:J108"/>
    <mergeCell ref="K108:L108"/>
    <mergeCell ref="M108:N108"/>
    <mergeCell ref="G105:H105"/>
    <mergeCell ref="I105:J105"/>
    <mergeCell ref="K105:L105"/>
    <mergeCell ref="M105:N105"/>
    <mergeCell ref="G106:H106"/>
    <mergeCell ref="I106:J106"/>
    <mergeCell ref="K106:L106"/>
    <mergeCell ref="M106:N106"/>
    <mergeCell ref="G103:H103"/>
    <mergeCell ref="I103:J103"/>
    <mergeCell ref="K103:L103"/>
    <mergeCell ref="M103:N103"/>
    <mergeCell ref="G104:H104"/>
    <mergeCell ref="I104:J104"/>
    <mergeCell ref="K104:L104"/>
    <mergeCell ref="M104:N104"/>
    <mergeCell ref="G101:H101"/>
    <mergeCell ref="I101:J101"/>
    <mergeCell ref="K101:L101"/>
    <mergeCell ref="M101:N101"/>
    <mergeCell ref="G102:H102"/>
    <mergeCell ref="I102:J102"/>
    <mergeCell ref="K102:L102"/>
    <mergeCell ref="M102:N102"/>
    <mergeCell ref="G99:H99"/>
    <mergeCell ref="I99:J99"/>
    <mergeCell ref="K99:L99"/>
    <mergeCell ref="M99:N99"/>
    <mergeCell ref="G100:H100"/>
    <mergeCell ref="I100:J100"/>
    <mergeCell ref="K100:L100"/>
    <mergeCell ref="M100:N100"/>
    <mergeCell ref="G97:H97"/>
    <mergeCell ref="I97:J97"/>
    <mergeCell ref="K97:L97"/>
    <mergeCell ref="M97:N97"/>
    <mergeCell ref="G98:H98"/>
    <mergeCell ref="I98:J98"/>
    <mergeCell ref="K98:L98"/>
    <mergeCell ref="M98:N98"/>
    <mergeCell ref="G94:H94"/>
    <mergeCell ref="I94:J94"/>
    <mergeCell ref="K94:L94"/>
    <mergeCell ref="M94:N94"/>
    <mergeCell ref="G95:H95"/>
    <mergeCell ref="I95:J95"/>
    <mergeCell ref="K95:L95"/>
    <mergeCell ref="M95:N95"/>
    <mergeCell ref="G92:H92"/>
    <mergeCell ref="I92:J92"/>
    <mergeCell ref="K92:L92"/>
    <mergeCell ref="M92:N92"/>
    <mergeCell ref="G93:H93"/>
    <mergeCell ref="I93:J93"/>
    <mergeCell ref="K93:L93"/>
    <mergeCell ref="M93:N93"/>
    <mergeCell ref="G90:H90"/>
    <mergeCell ref="I90:J90"/>
    <mergeCell ref="K90:L90"/>
    <mergeCell ref="M90:N90"/>
    <mergeCell ref="G91:H91"/>
    <mergeCell ref="I91:J91"/>
    <mergeCell ref="K91:L91"/>
    <mergeCell ref="M91:N91"/>
    <mergeCell ref="G87:H87"/>
    <mergeCell ref="I87:J87"/>
    <mergeCell ref="K87:L87"/>
    <mergeCell ref="M87:N87"/>
    <mergeCell ref="G89:H89"/>
    <mergeCell ref="I89:J89"/>
    <mergeCell ref="K89:L89"/>
    <mergeCell ref="M89:N89"/>
    <mergeCell ref="G85:H85"/>
    <mergeCell ref="I85:J85"/>
    <mergeCell ref="K85:L85"/>
    <mergeCell ref="M85:N85"/>
    <mergeCell ref="G86:H86"/>
    <mergeCell ref="I86:J86"/>
    <mergeCell ref="K86:L86"/>
    <mergeCell ref="M86:N86"/>
    <mergeCell ref="G83:H83"/>
    <mergeCell ref="I83:J83"/>
    <mergeCell ref="K83:L83"/>
    <mergeCell ref="M83:N83"/>
    <mergeCell ref="G84:H84"/>
    <mergeCell ref="I84:J84"/>
    <mergeCell ref="K84:L84"/>
    <mergeCell ref="M84:N84"/>
    <mergeCell ref="C80:N80"/>
    <mergeCell ref="G81:H81"/>
    <mergeCell ref="I81:J81"/>
    <mergeCell ref="K81:L81"/>
    <mergeCell ref="M81:N81"/>
    <mergeCell ref="G82:H82"/>
    <mergeCell ref="I82:J82"/>
    <mergeCell ref="K82:L82"/>
    <mergeCell ref="M82:N82"/>
    <mergeCell ref="F77:H77"/>
    <mergeCell ref="I77:K77"/>
    <mergeCell ref="F78:H78"/>
    <mergeCell ref="I78:K78"/>
    <mergeCell ref="F75:H75"/>
    <mergeCell ref="I75:K75"/>
    <mergeCell ref="F76:H76"/>
    <mergeCell ref="I76:K76"/>
    <mergeCell ref="L75:N75"/>
    <mergeCell ref="L76:N76"/>
    <mergeCell ref="L77:N77"/>
    <mergeCell ref="L78:N78"/>
    <mergeCell ref="F73:H73"/>
    <mergeCell ref="I73:K73"/>
    <mergeCell ref="L73:N73"/>
    <mergeCell ref="F74:H74"/>
    <mergeCell ref="I74:K74"/>
    <mergeCell ref="F71:H71"/>
    <mergeCell ref="I71:K71"/>
    <mergeCell ref="L71:N71"/>
    <mergeCell ref="F72:H72"/>
    <mergeCell ref="I72:K72"/>
    <mergeCell ref="L72:N72"/>
    <mergeCell ref="L74:N74"/>
    <mergeCell ref="C68:N68"/>
    <mergeCell ref="F69:H69"/>
    <mergeCell ref="I69:K69"/>
    <mergeCell ref="L69:N69"/>
    <mergeCell ref="F70:H70"/>
    <mergeCell ref="I70:K70"/>
    <mergeCell ref="L70:N70"/>
    <mergeCell ref="I64:J64"/>
    <mergeCell ref="L64:M64"/>
    <mergeCell ref="I65:J65"/>
    <mergeCell ref="L65:M65"/>
    <mergeCell ref="I66:K66"/>
    <mergeCell ref="L66:N66"/>
    <mergeCell ref="I61:K61"/>
    <mergeCell ref="L61:N61"/>
    <mergeCell ref="I62:J62"/>
    <mergeCell ref="L62:M62"/>
    <mergeCell ref="I63:J63"/>
    <mergeCell ref="L63:M63"/>
    <mergeCell ref="I58:J58"/>
    <mergeCell ref="L58:M58"/>
    <mergeCell ref="I59:J59"/>
    <mergeCell ref="L59:M59"/>
    <mergeCell ref="I60:J60"/>
    <mergeCell ref="L60:M60"/>
    <mergeCell ref="C54:N54"/>
    <mergeCell ref="I55:K55"/>
    <mergeCell ref="L55:N55"/>
    <mergeCell ref="I56:K56"/>
    <mergeCell ref="L56:N56"/>
    <mergeCell ref="I57:K57"/>
    <mergeCell ref="L57:N57"/>
    <mergeCell ref="J47:N47"/>
    <mergeCell ref="J48:M48"/>
    <mergeCell ref="J49:M49"/>
    <mergeCell ref="J50:M50"/>
    <mergeCell ref="C51:N51"/>
    <mergeCell ref="J52:N52"/>
    <mergeCell ref="J41:M41"/>
    <mergeCell ref="J42:N42"/>
    <mergeCell ref="J43:N43"/>
    <mergeCell ref="J44:N44"/>
    <mergeCell ref="J45:N45"/>
    <mergeCell ref="J46:M46"/>
    <mergeCell ref="J35:M35"/>
    <mergeCell ref="J36:M36"/>
    <mergeCell ref="C37:N37"/>
    <mergeCell ref="J38:N38"/>
    <mergeCell ref="J39:M39"/>
    <mergeCell ref="J40:M40"/>
    <mergeCell ref="J29:N29"/>
    <mergeCell ref="J30:M30"/>
    <mergeCell ref="J31:M31"/>
    <mergeCell ref="C32:N32"/>
    <mergeCell ref="J33:N33"/>
    <mergeCell ref="J34:M34"/>
    <mergeCell ref="C23:N23"/>
    <mergeCell ref="J24:N24"/>
    <mergeCell ref="C25:N25"/>
    <mergeCell ref="J26:N26"/>
    <mergeCell ref="J27:M27"/>
    <mergeCell ref="J28:M28"/>
    <mergeCell ref="J19:N19"/>
    <mergeCell ref="J20:N20"/>
    <mergeCell ref="C22:N22"/>
    <mergeCell ref="J12:N12"/>
    <mergeCell ref="C13:E14"/>
    <mergeCell ref="J13:N13"/>
    <mergeCell ref="J14:N14"/>
    <mergeCell ref="J15:N15"/>
    <mergeCell ref="J16:N16"/>
    <mergeCell ref="C3:N4"/>
    <mergeCell ref="C6:N6"/>
    <mergeCell ref="J8:N8"/>
    <mergeCell ref="J9:N9"/>
    <mergeCell ref="C10:E11"/>
    <mergeCell ref="J10:N10"/>
    <mergeCell ref="J11:N11"/>
    <mergeCell ref="C17:E18"/>
    <mergeCell ref="J17:N17"/>
    <mergeCell ref="J18:N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8709e2e-4da8-42d3-bf03-d1d83e4744e5" xsi:nil="true"/>
    <lcf76f155ced4ddcb4097134ff3c332f xmlns="a23105ca-3395-4058-8284-88e334f7b95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9" ma:contentTypeDescription="Create a new document." ma:contentTypeScope="" ma:versionID="ff042b193406e0c523521f9cfbc484b9">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ebb97d6b6626977fd4a6e5ff37988f5a"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8B159-4274-42A3-AF75-06E0FB10AB16}">
  <ds:schemaRefs>
    <ds:schemaRef ds:uri="http://schemas.microsoft.com/office/2006/metadata/properties"/>
    <ds:schemaRef ds:uri="http://schemas.microsoft.com/office/infopath/2007/PartnerControls"/>
    <ds:schemaRef ds:uri="18709e2e-4da8-42d3-bf03-d1d83e4744e5"/>
    <ds:schemaRef ds:uri="a23105ca-3395-4058-8284-88e334f7b956"/>
  </ds:schemaRefs>
</ds:datastoreItem>
</file>

<file path=customXml/itemProps2.xml><?xml version="1.0" encoding="utf-8"?>
<ds:datastoreItem xmlns:ds="http://schemas.openxmlformats.org/officeDocument/2006/customXml" ds:itemID="{5EEFB91A-165D-4D60-B8C5-5181CBCCD51A}">
  <ds:schemaRefs>
    <ds:schemaRef ds:uri="http://schemas.microsoft.com/sharepoint/v3/contenttype/forms"/>
  </ds:schemaRefs>
</ds:datastoreItem>
</file>

<file path=customXml/itemProps3.xml><?xml version="1.0" encoding="utf-8"?>
<ds:datastoreItem xmlns:ds="http://schemas.openxmlformats.org/officeDocument/2006/customXml" ds:itemID="{F123A4B2-D636-4AE6-9FEC-B820105DF9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709e2e-4da8-42d3-bf03-d1d83e4744e5"/>
    <ds:schemaRef ds:uri="a23105ca-3395-4058-8284-88e334f7b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Admin Report</vt:lpstr>
      <vt:lpstr>Servicer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Tebogo Moseamedi</dc:creator>
  <cp:lastModifiedBy>Tebogo Moseamedi</cp:lastModifiedBy>
  <dcterms:created xsi:type="dcterms:W3CDTF">2025-11-17T14:33:11Z</dcterms:created>
  <dcterms:modified xsi:type="dcterms:W3CDTF">2025-11-19T13:28:45Z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0x0101006ECBF554220BF2499ADD23B390874F60</vt:lpwstr>
  </property>
</Properties>
</file>